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0" yWindow="810" windowWidth="13650" windowHeight="10050" activeTab="1"/>
  </bookViews>
  <sheets>
    <sheet name="NOVIEMBRE" sheetId="1" r:id="rId1"/>
    <sheet name="DICIEMBRE" sheetId="2" r:id="rId2"/>
    <sheet name="BALANCE" sheetId="3" r:id="rId3"/>
    <sheet name="CLASE" sheetId="4" r:id="rId4"/>
  </sheets>
  <calcPr calcId="144525"/>
</workbook>
</file>

<file path=xl/calcChain.xml><?xml version="1.0" encoding="utf-8"?>
<calcChain xmlns="http://schemas.openxmlformats.org/spreadsheetml/2006/main">
  <c r="G101" i="2" l="1"/>
  <c r="S185" i="2" l="1"/>
  <c r="Q181" i="2"/>
  <c r="Q180" i="2"/>
  <c r="W180" i="2"/>
  <c r="W179" i="2"/>
  <c r="W178" i="2"/>
  <c r="Q177" i="2"/>
  <c r="R175" i="2"/>
  <c r="U176" i="2"/>
  <c r="W172" i="2"/>
  <c r="O183" i="2"/>
  <c r="S183" i="2" s="1"/>
  <c r="AF161" i="2" l="1"/>
  <c r="AE161" i="2"/>
  <c r="AE157" i="2"/>
  <c r="P105" i="2" l="1"/>
  <c r="I185" i="2"/>
  <c r="H187" i="2"/>
  <c r="G185" i="2"/>
  <c r="P94" i="1"/>
  <c r="Q360" i="2"/>
  <c r="S360" i="2" s="1"/>
  <c r="U360" i="2" s="1"/>
  <c r="U355" i="2"/>
  <c r="S355" i="2"/>
  <c r="Q355" i="2"/>
  <c r="O165" i="2"/>
  <c r="H183" i="2" l="1"/>
  <c r="G192" i="2" l="1"/>
  <c r="F311" i="1"/>
  <c r="N25" i="1" l="1"/>
  <c r="R255" i="1"/>
  <c r="P255" i="1"/>
  <c r="P254" i="1"/>
  <c r="P253" i="1"/>
  <c r="D237" i="1"/>
  <c r="P222" i="1" l="1"/>
  <c r="N222" i="1"/>
  <c r="N221" i="1"/>
  <c r="N220" i="1"/>
  <c r="N219" i="1"/>
  <c r="E112" i="2"/>
  <c r="E113" i="2"/>
  <c r="F115" i="2"/>
  <c r="H110" i="2" l="1"/>
  <c r="H235" i="2"/>
  <c r="H220" i="1"/>
  <c r="J226" i="2" l="1"/>
  <c r="Q152" i="2" s="1"/>
  <c r="S152" i="2" s="1"/>
  <c r="W152" i="2" s="1"/>
  <c r="J225" i="2"/>
  <c r="N209" i="2"/>
  <c r="F168" i="2"/>
  <c r="E167" i="2"/>
  <c r="F163" i="2"/>
  <c r="E158" i="2"/>
  <c r="E157" i="2"/>
  <c r="E130" i="2"/>
  <c r="F127" i="2"/>
  <c r="E126" i="2"/>
  <c r="F124" i="2"/>
  <c r="F123" i="2"/>
  <c r="E122" i="2"/>
  <c r="N208" i="2" s="1"/>
  <c r="F119" i="2"/>
  <c r="F120" i="2"/>
  <c r="F118" i="2"/>
  <c r="E117" i="2"/>
  <c r="L253" i="1"/>
  <c r="K220" i="1"/>
  <c r="I333" i="1"/>
  <c r="J254" i="1"/>
  <c r="L254" i="1" s="1"/>
  <c r="J219" i="1"/>
  <c r="L219" i="1" s="1"/>
  <c r="F219" i="1" s="1"/>
  <c r="Q242" i="1" l="1"/>
  <c r="P243" i="1" s="1"/>
  <c r="Q241" i="1"/>
  <c r="V248" i="1"/>
  <c r="S248" i="1"/>
  <c r="Q248" i="1"/>
  <c r="V247" i="1"/>
  <c r="S247" i="1"/>
  <c r="Q247" i="1"/>
  <c r="P248" i="1" s="1"/>
  <c r="V246" i="1"/>
  <c r="S246" i="1"/>
  <c r="Q246" i="1"/>
  <c r="P247" i="1" s="1"/>
  <c r="V245" i="1"/>
  <c r="S245" i="1"/>
  <c r="Q245" i="1"/>
  <c r="P246" i="1" s="1"/>
  <c r="V244" i="1"/>
  <c r="S244" i="1"/>
  <c r="Q244" i="1"/>
  <c r="P245" i="1" s="1"/>
  <c r="V243" i="1"/>
  <c r="S243" i="1"/>
  <c r="Q243" i="1"/>
  <c r="P244" i="1" s="1"/>
  <c r="V242" i="1"/>
  <c r="U242" i="1"/>
  <c r="U243" i="1" s="1"/>
  <c r="U244" i="1" s="1"/>
  <c r="U245" i="1" s="1"/>
  <c r="U246" i="1" s="1"/>
  <c r="U247" i="1" s="1"/>
  <c r="U248" i="1" s="1"/>
  <c r="S242" i="1"/>
  <c r="M241" i="1" s="1"/>
  <c r="O242" i="1"/>
  <c r="O243" i="1" s="1"/>
  <c r="O244" i="1" s="1"/>
  <c r="O245" i="1" s="1"/>
  <c r="O246" i="1" s="1"/>
  <c r="O247" i="1" s="1"/>
  <c r="O248" i="1" s="1"/>
  <c r="P242" i="1"/>
  <c r="E128" i="1"/>
  <c r="E139" i="2" s="1"/>
  <c r="F320" i="1"/>
  <c r="F143" i="1" s="1"/>
  <c r="F154" i="2" s="1"/>
  <c r="D272" i="1"/>
  <c r="D271" i="1"/>
  <c r="J259" i="1"/>
  <c r="L256" i="1"/>
  <c r="H255" i="1"/>
  <c r="K255" i="1" s="1"/>
  <c r="L255" i="1" s="1"/>
  <c r="L240" i="1"/>
  <c r="L231" i="1"/>
  <c r="L232" i="1" s="1"/>
  <c r="F220" i="1"/>
  <c r="D273" i="1" l="1"/>
  <c r="L257" i="1"/>
  <c r="N257" i="1" s="1"/>
  <c r="F255" i="1"/>
  <c r="O210" i="2"/>
  <c r="N210" i="2"/>
  <c r="P209" i="2"/>
  <c r="Q209" i="2" s="1"/>
  <c r="P208" i="2"/>
  <c r="Q208" i="2" s="1"/>
  <c r="O204" i="2"/>
  <c r="G204" i="2" s="1"/>
  <c r="H205" i="2" s="1"/>
  <c r="J205" i="2" s="1"/>
  <c r="G360" i="2"/>
  <c r="H360" i="2" s="1"/>
  <c r="H349" i="2"/>
  <c r="M341" i="2"/>
  <c r="J341" i="2" s="1"/>
  <c r="S164" i="2"/>
  <c r="Q210" i="2" l="1"/>
  <c r="P210" i="2"/>
  <c r="G207" i="2" s="1"/>
  <c r="H208" i="2" s="1"/>
  <c r="G211" i="2"/>
  <c r="J360" i="2"/>
  <c r="O162" i="2"/>
  <c r="AA133" i="2"/>
  <c r="G184" i="2"/>
  <c r="E184" i="2"/>
  <c r="F334" i="2"/>
  <c r="H154" i="2" s="1"/>
  <c r="L271" i="2"/>
  <c r="J274" i="2"/>
  <c r="E319" i="2"/>
  <c r="G139" i="2" s="1"/>
  <c r="D286" i="2"/>
  <c r="D285" i="2"/>
  <c r="E287" i="2" s="1"/>
  <c r="H270" i="2"/>
  <c r="K270" i="2" s="1"/>
  <c r="L270" i="2" s="1"/>
  <c r="S263" i="2"/>
  <c r="S262" i="2"/>
  <c r="S261" i="2"/>
  <c r="S260" i="2"/>
  <c r="S259" i="2"/>
  <c r="S258" i="2"/>
  <c r="S257" i="2"/>
  <c r="Q263" i="2"/>
  <c r="Q262" i="2"/>
  <c r="Q261" i="2"/>
  <c r="Q260" i="2"/>
  <c r="Q259" i="2"/>
  <c r="Q258" i="2"/>
  <c r="P259" i="2" s="1"/>
  <c r="P260" i="2"/>
  <c r="P261" i="2"/>
  <c r="P262" i="2"/>
  <c r="P263" i="2"/>
  <c r="Q257" i="2"/>
  <c r="P258" i="2" s="1"/>
  <c r="Q256" i="2"/>
  <c r="L285" i="2" s="1"/>
  <c r="V259" i="2"/>
  <c r="V260" i="2"/>
  <c r="V261" i="2"/>
  <c r="V262" i="2"/>
  <c r="V263" i="2"/>
  <c r="O257" i="2"/>
  <c r="O258" i="2" s="1"/>
  <c r="O259" i="2" s="1"/>
  <c r="O260" i="2" s="1"/>
  <c r="O261" i="2" s="1"/>
  <c r="O262" i="2" s="1"/>
  <c r="O263" i="2" s="1"/>
  <c r="U258" i="2"/>
  <c r="U259" i="2" s="1"/>
  <c r="U260" i="2" s="1"/>
  <c r="U261" i="2" s="1"/>
  <c r="U262" i="2" s="1"/>
  <c r="U263" i="2" s="1"/>
  <c r="U257" i="2"/>
  <c r="V257" i="2"/>
  <c r="V258" i="2"/>
  <c r="P257" i="2"/>
  <c r="L247" i="2"/>
  <c r="L246" i="2"/>
  <c r="K235" i="2"/>
  <c r="F235" i="2" s="1"/>
  <c r="F16" i="2"/>
  <c r="F18" i="2" s="1"/>
  <c r="F33" i="2" s="1"/>
  <c r="G158" i="2" s="1"/>
  <c r="K360" i="2" l="1"/>
  <c r="H216" i="2"/>
  <c r="L272" i="2"/>
  <c r="N272" i="2" s="1"/>
  <c r="F270" i="2"/>
  <c r="N360" i="2"/>
  <c r="E41" i="2"/>
  <c r="G33" i="2"/>
  <c r="H33" i="2" s="1"/>
  <c r="J33" i="2" s="1"/>
  <c r="D287" i="2"/>
  <c r="F19" i="2"/>
  <c r="F20" i="2" s="1"/>
  <c r="J333" i="1"/>
  <c r="J327" i="1" s="1"/>
  <c r="I326" i="1"/>
  <c r="K326" i="1" s="1"/>
  <c r="H326" i="1"/>
  <c r="H327" i="1" s="1"/>
  <c r="E307" i="1"/>
  <c r="E130" i="1" s="1"/>
  <c r="E306" i="1"/>
  <c r="E129" i="1" s="1"/>
  <c r="E140" i="2" s="1"/>
  <c r="E303" i="1"/>
  <c r="E126" i="1" s="1"/>
  <c r="E137" i="2" s="1"/>
  <c r="E302" i="1"/>
  <c r="E125" i="1" s="1"/>
  <c r="C302" i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E301" i="1"/>
  <c r="E124" i="1" s="1"/>
  <c r="F258" i="1"/>
  <c r="F262" i="1" s="1"/>
  <c r="J214" i="1"/>
  <c r="I213" i="1"/>
  <c r="J211" i="1"/>
  <c r="I210" i="1"/>
  <c r="J208" i="1"/>
  <c r="J207" i="1"/>
  <c r="I206" i="1"/>
  <c r="J204" i="1"/>
  <c r="J203" i="1"/>
  <c r="I202" i="1"/>
  <c r="J200" i="1"/>
  <c r="I199" i="1"/>
  <c r="I198" i="1"/>
  <c r="J196" i="1"/>
  <c r="I195" i="1"/>
  <c r="I193" i="1"/>
  <c r="I192" i="1"/>
  <c r="J190" i="1"/>
  <c r="I189" i="1"/>
  <c r="J187" i="1"/>
  <c r="I187" i="1"/>
  <c r="J186" i="1"/>
  <c r="I186" i="1"/>
  <c r="J185" i="1"/>
  <c r="I185" i="1"/>
  <c r="J184" i="1"/>
  <c r="I183" i="1"/>
  <c r="J181" i="1"/>
  <c r="I180" i="1"/>
  <c r="I179" i="1"/>
  <c r="I178" i="1"/>
  <c r="J177" i="1"/>
  <c r="I177" i="1"/>
  <c r="J175" i="1"/>
  <c r="I174" i="1"/>
  <c r="J168" i="1"/>
  <c r="I167" i="1"/>
  <c r="P116" i="1" s="1"/>
  <c r="I166" i="1"/>
  <c r="I165" i="1"/>
  <c r="P114" i="1" s="1"/>
  <c r="I164" i="1"/>
  <c r="I163" i="1"/>
  <c r="P113" i="1" s="1"/>
  <c r="I162" i="1"/>
  <c r="I161" i="1"/>
  <c r="P111" i="1" s="1"/>
  <c r="H169" i="1"/>
  <c r="H159" i="1"/>
  <c r="G159" i="1"/>
  <c r="J157" i="1"/>
  <c r="I156" i="1"/>
  <c r="H155" i="1"/>
  <c r="J152" i="1"/>
  <c r="I147" i="1"/>
  <c r="P125" i="1" s="1"/>
  <c r="R125" i="1" s="1"/>
  <c r="V125" i="1" s="1"/>
  <c r="I146" i="1"/>
  <c r="J143" i="1"/>
  <c r="Q104" i="1" s="1"/>
  <c r="Q139" i="1"/>
  <c r="P139" i="1"/>
  <c r="R139" i="1" s="1"/>
  <c r="V139" i="1" s="1"/>
  <c r="P138" i="1"/>
  <c r="R138" i="1" s="1"/>
  <c r="V138" i="1" s="1"/>
  <c r="I129" i="1"/>
  <c r="P133" i="1" s="1"/>
  <c r="R133" i="1" s="1"/>
  <c r="V133" i="1" s="1"/>
  <c r="I128" i="1"/>
  <c r="P132" i="1" s="1"/>
  <c r="R132" i="1" s="1"/>
  <c r="V132" i="1" s="1"/>
  <c r="P126" i="1"/>
  <c r="R126" i="1" s="1"/>
  <c r="V126" i="1" s="1"/>
  <c r="I126" i="1"/>
  <c r="P130" i="1" s="1"/>
  <c r="R130" i="1" s="1"/>
  <c r="V130" i="1" s="1"/>
  <c r="H123" i="1"/>
  <c r="P122" i="1"/>
  <c r="R122" i="1" s="1"/>
  <c r="V122" i="1" s="1"/>
  <c r="Q121" i="1"/>
  <c r="P121" i="1"/>
  <c r="I119" i="1"/>
  <c r="P95" i="1" s="1"/>
  <c r="P117" i="1"/>
  <c r="J116" i="1"/>
  <c r="P115" i="1"/>
  <c r="I115" i="1"/>
  <c r="H114" i="1"/>
  <c r="F114" i="1"/>
  <c r="J113" i="1"/>
  <c r="P112" i="1"/>
  <c r="J112" i="1"/>
  <c r="I111" i="1"/>
  <c r="H110" i="1"/>
  <c r="Q109" i="1"/>
  <c r="S109" i="1" s="1"/>
  <c r="U109" i="1" s="1"/>
  <c r="P108" i="1"/>
  <c r="J108" i="1"/>
  <c r="P107" i="1"/>
  <c r="J107" i="1"/>
  <c r="Q107" i="1" s="1"/>
  <c r="P106" i="1"/>
  <c r="I106" i="1"/>
  <c r="P127" i="1" s="1"/>
  <c r="R127" i="1" s="1"/>
  <c r="V127" i="1" s="1"/>
  <c r="Q105" i="1"/>
  <c r="P104" i="1"/>
  <c r="J104" i="1"/>
  <c r="P103" i="1"/>
  <c r="R103" i="1" s="1"/>
  <c r="T103" i="1" s="1"/>
  <c r="J103" i="1"/>
  <c r="I102" i="1"/>
  <c r="P101" i="1"/>
  <c r="R101" i="1" s="1"/>
  <c r="T101" i="1" s="1"/>
  <c r="I101" i="1"/>
  <c r="P124" i="1" s="1"/>
  <c r="R124" i="1" s="1"/>
  <c r="V124" i="1" s="1"/>
  <c r="Q100" i="1"/>
  <c r="P100" i="1"/>
  <c r="Q99" i="1"/>
  <c r="J99" i="1"/>
  <c r="P98" i="1"/>
  <c r="R98" i="1" s="1"/>
  <c r="T98" i="1" s="1"/>
  <c r="I98" i="1"/>
  <c r="P123" i="1" s="1"/>
  <c r="R123" i="1" s="1"/>
  <c r="V123" i="1" s="1"/>
  <c r="Q97" i="1"/>
  <c r="F97" i="1"/>
  <c r="Q96" i="1"/>
  <c r="J96" i="1"/>
  <c r="Q120" i="1" s="1"/>
  <c r="S120" i="1" s="1"/>
  <c r="U120" i="1" s="1"/>
  <c r="L95" i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L133" i="1" s="1"/>
  <c r="L134" i="1" s="1"/>
  <c r="L135" i="1" s="1"/>
  <c r="L136" i="1" s="1"/>
  <c r="L137" i="1" s="1"/>
  <c r="L138" i="1" s="1"/>
  <c r="L139" i="1" s="1"/>
  <c r="L140" i="1" s="1"/>
  <c r="I95" i="1"/>
  <c r="E91" i="1"/>
  <c r="G82" i="1"/>
  <c r="G190" i="2" s="1"/>
  <c r="G75" i="1"/>
  <c r="F48" i="1"/>
  <c r="F51" i="1" s="1"/>
  <c r="F16" i="1"/>
  <c r="F15" i="1"/>
  <c r="F18" i="1" s="1"/>
  <c r="F7" i="1"/>
  <c r="F9" i="1" s="1"/>
  <c r="F44" i="2" l="1"/>
  <c r="H162" i="2"/>
  <c r="I130" i="1"/>
  <c r="P134" i="1" s="1"/>
  <c r="R134" i="1" s="1"/>
  <c r="V134" i="1" s="1"/>
  <c r="E141" i="2"/>
  <c r="K327" i="1"/>
  <c r="F63" i="1"/>
  <c r="F121" i="1"/>
  <c r="I124" i="1"/>
  <c r="P128" i="1" s="1"/>
  <c r="R128" i="1" s="1"/>
  <c r="V128" i="1" s="1"/>
  <c r="E135" i="2"/>
  <c r="I125" i="1"/>
  <c r="P129" i="1" s="1"/>
  <c r="R129" i="1" s="1"/>
  <c r="V129" i="1" s="1"/>
  <c r="E136" i="2"/>
  <c r="R100" i="1"/>
  <c r="T100" i="1" s="1"/>
  <c r="O360" i="2"/>
  <c r="H220" i="2"/>
  <c r="R104" i="1"/>
  <c r="T104" i="1" s="1"/>
  <c r="E283" i="1"/>
  <c r="E289" i="1" s="1"/>
  <c r="E295" i="1" s="1"/>
  <c r="G295" i="1" s="1"/>
  <c r="D268" i="1"/>
  <c r="I264" i="1"/>
  <c r="K264" i="1" s="1"/>
  <c r="E264" i="1" s="1"/>
  <c r="I265" i="1"/>
  <c r="K265" i="1" s="1"/>
  <c r="E265" i="1" s="1"/>
  <c r="F313" i="1" s="1"/>
  <c r="F136" i="1" s="1"/>
  <c r="J105" i="1"/>
  <c r="G20" i="2"/>
  <c r="S107" i="1"/>
  <c r="U107" i="1" s="1"/>
  <c r="J114" i="1"/>
  <c r="F24" i="1"/>
  <c r="E148" i="1" s="1"/>
  <c r="F10" i="1"/>
  <c r="F11" i="1" s="1"/>
  <c r="F25" i="1"/>
  <c r="E149" i="1" s="1"/>
  <c r="F19" i="1"/>
  <c r="F20" i="1" s="1"/>
  <c r="F52" i="1"/>
  <c r="G58" i="1" s="1"/>
  <c r="F122" i="1" s="1"/>
  <c r="J97" i="1"/>
  <c r="J109" i="1"/>
  <c r="F58" i="1"/>
  <c r="F70" i="1" s="1"/>
  <c r="P102" i="1"/>
  <c r="R102" i="1" s="1"/>
  <c r="T102" i="1" s="1"/>
  <c r="F110" i="1"/>
  <c r="J110" i="1"/>
  <c r="J330" i="1"/>
  <c r="I160" i="1"/>
  <c r="G355" i="2"/>
  <c r="F274" i="1" l="1"/>
  <c r="F275" i="1" s="1"/>
  <c r="F277" i="1" s="1"/>
  <c r="H11" i="1"/>
  <c r="K24" i="1" s="1"/>
  <c r="F133" i="2"/>
  <c r="T162" i="2" s="1"/>
  <c r="J122" i="1"/>
  <c r="Q106" i="1" s="1"/>
  <c r="S106" i="1" s="1"/>
  <c r="U106" i="1" s="1"/>
  <c r="E160" i="2"/>
  <c r="I149" i="1"/>
  <c r="P99" i="1" s="1"/>
  <c r="R99" i="1" s="1"/>
  <c r="T99" i="1" s="1"/>
  <c r="E159" i="2"/>
  <c r="I148" i="1"/>
  <c r="J136" i="1"/>
  <c r="Q112" i="1" s="1"/>
  <c r="S112" i="1" s="1"/>
  <c r="U112" i="1" s="1"/>
  <c r="F147" i="2"/>
  <c r="G173" i="2" s="1"/>
  <c r="F132" i="2"/>
  <c r="J121" i="1"/>
  <c r="Q140" i="1" s="1"/>
  <c r="S140" i="1" s="1"/>
  <c r="W140" i="1" s="1"/>
  <c r="W142" i="1" s="1"/>
  <c r="W144" i="1" s="1"/>
  <c r="H355" i="2"/>
  <c r="H212" i="2"/>
  <c r="G210" i="2"/>
  <c r="F312" i="1"/>
  <c r="F135" i="1" s="1"/>
  <c r="D269" i="1"/>
  <c r="D270" i="1" s="1"/>
  <c r="F53" i="1"/>
  <c r="H53" i="1" s="1"/>
  <c r="K58" i="1" s="1"/>
  <c r="E83" i="1"/>
  <c r="G83" i="1" s="1"/>
  <c r="I221" i="1"/>
  <c r="K221" i="1" s="1"/>
  <c r="F221" i="1" s="1"/>
  <c r="J355" i="2"/>
  <c r="I20" i="1"/>
  <c r="L25" i="1" s="1"/>
  <c r="G20" i="1"/>
  <c r="J25" i="1" s="1"/>
  <c r="J20" i="1"/>
  <c r="M25" i="1" s="1"/>
  <c r="M26" i="1" s="1"/>
  <c r="H20" i="1"/>
  <c r="K25" i="1" s="1"/>
  <c r="G11" i="1"/>
  <c r="J24" i="1" s="1"/>
  <c r="G70" i="1"/>
  <c r="G71" i="1" s="1"/>
  <c r="Q79" i="1" s="1"/>
  <c r="F64" i="1"/>
  <c r="F65" i="1" s="1"/>
  <c r="E31" i="1"/>
  <c r="F26" i="1"/>
  <c r="G24" i="1"/>
  <c r="H24" i="1" s="1"/>
  <c r="J169" i="1"/>
  <c r="P110" i="1"/>
  <c r="E32" i="1"/>
  <c r="G25" i="1"/>
  <c r="G74" i="1" s="1"/>
  <c r="J348" i="2"/>
  <c r="J347" i="2"/>
  <c r="I342" i="2"/>
  <c r="I340" i="2"/>
  <c r="K340" i="2" s="1"/>
  <c r="K341" i="2" s="1"/>
  <c r="H340" i="2"/>
  <c r="H341" i="2" s="1"/>
  <c r="J229" i="2"/>
  <c r="I228" i="2"/>
  <c r="J223" i="2"/>
  <c r="I222" i="2"/>
  <c r="P137" i="2" s="1"/>
  <c r="R137" i="2" s="1"/>
  <c r="V137" i="2" s="1"/>
  <c r="G53" i="1" l="1"/>
  <c r="H58" i="1"/>
  <c r="H70" i="1" s="1"/>
  <c r="J349" i="2"/>
  <c r="J343" i="2" s="1"/>
  <c r="J26" i="1"/>
  <c r="F34" i="1" s="1"/>
  <c r="E62" i="1"/>
  <c r="E120" i="1"/>
  <c r="F154" i="1"/>
  <c r="P97" i="1"/>
  <c r="R97" i="1" s="1"/>
  <c r="T97" i="1" s="1"/>
  <c r="I11" i="1"/>
  <c r="L24" i="1" s="1"/>
  <c r="L26" i="1" s="1"/>
  <c r="J135" i="1"/>
  <c r="Q111" i="1" s="1"/>
  <c r="S111" i="1" s="1"/>
  <c r="U111" i="1" s="1"/>
  <c r="F146" i="2"/>
  <c r="G172" i="2" s="1"/>
  <c r="F35" i="1"/>
  <c r="I170" i="1" s="1"/>
  <c r="P118" i="1" s="1"/>
  <c r="F153" i="1"/>
  <c r="K355" i="2"/>
  <c r="H215" i="2"/>
  <c r="G214" i="2"/>
  <c r="E304" i="1"/>
  <c r="F223" i="1"/>
  <c r="K342" i="2"/>
  <c r="J344" i="2"/>
  <c r="G201" i="2" s="1"/>
  <c r="H202" i="2" s="1"/>
  <c r="J202" i="2" s="1"/>
  <c r="Q108" i="2" s="1"/>
  <c r="H342" i="2"/>
  <c r="H343" i="2" s="1"/>
  <c r="C348" i="2" s="1"/>
  <c r="F348" i="2" s="1"/>
  <c r="N355" i="2"/>
  <c r="H25" i="1"/>
  <c r="H26" i="1" s="1"/>
  <c r="J58" i="1"/>
  <c r="E118" i="1" s="1"/>
  <c r="I53" i="1"/>
  <c r="G73" i="1"/>
  <c r="G76" i="1" s="1"/>
  <c r="G26" i="1"/>
  <c r="I171" i="1"/>
  <c r="P119" i="1" s="1"/>
  <c r="F36" i="1"/>
  <c r="K26" i="1"/>
  <c r="K20" i="1"/>
  <c r="J220" i="2"/>
  <c r="J123" i="2"/>
  <c r="L106" i="2"/>
  <c r="L107" i="2" s="1"/>
  <c r="L108" i="2" s="1"/>
  <c r="L109" i="2" s="1"/>
  <c r="L110" i="2" s="1"/>
  <c r="L111" i="2" s="1"/>
  <c r="L112" i="2" s="1"/>
  <c r="L113" i="2" s="1"/>
  <c r="L114" i="2" s="1"/>
  <c r="L115" i="2" s="1"/>
  <c r="L116" i="2" s="1"/>
  <c r="L117" i="2" s="1"/>
  <c r="L118" i="2" s="1"/>
  <c r="L119" i="2" s="1"/>
  <c r="L120" i="2" s="1"/>
  <c r="L121" i="2" s="1"/>
  <c r="L122" i="2" s="1"/>
  <c r="L123" i="2" s="1"/>
  <c r="L124" i="2" s="1"/>
  <c r="L125" i="2" s="1"/>
  <c r="L126" i="2" s="1"/>
  <c r="L127" i="2" s="1"/>
  <c r="L128" i="2" s="1"/>
  <c r="L129" i="2" s="1"/>
  <c r="L130" i="2" s="1"/>
  <c r="L131" i="2" s="1"/>
  <c r="L132" i="2" s="1"/>
  <c r="L133" i="2" s="1"/>
  <c r="L134" i="2" s="1"/>
  <c r="L135" i="2" s="1"/>
  <c r="L136" i="2" s="1"/>
  <c r="L137" i="2" s="1"/>
  <c r="L138" i="2" s="1"/>
  <c r="L139" i="2" s="1"/>
  <c r="L140" i="2" s="1"/>
  <c r="L141" i="2" s="1"/>
  <c r="L142" i="2" s="1"/>
  <c r="L143" i="2" s="1"/>
  <c r="L144" i="2" s="1"/>
  <c r="L145" i="2" s="1"/>
  <c r="L146" i="2" s="1"/>
  <c r="L147" i="2" s="1"/>
  <c r="L148" i="2" s="1"/>
  <c r="L149" i="2" s="1"/>
  <c r="L150" i="2" s="1"/>
  <c r="L151" i="2" s="1"/>
  <c r="J216" i="2"/>
  <c r="J215" i="2"/>
  <c r="I214" i="2"/>
  <c r="P112" i="2" s="1"/>
  <c r="R112" i="2" s="1"/>
  <c r="T112" i="2" s="1"/>
  <c r="I211" i="2"/>
  <c r="I210" i="2"/>
  <c r="J212" i="2"/>
  <c r="J208" i="2"/>
  <c r="I207" i="2"/>
  <c r="P132" i="2" s="1"/>
  <c r="Q132" i="2"/>
  <c r="I204" i="2"/>
  <c r="P150" i="2" s="1"/>
  <c r="I201" i="2" l="1"/>
  <c r="P133" i="2" s="1"/>
  <c r="R133" i="2" s="1"/>
  <c r="V133" i="2" s="1"/>
  <c r="F151" i="1"/>
  <c r="J151" i="1" s="1"/>
  <c r="E129" i="2"/>
  <c r="F123" i="1"/>
  <c r="I118" i="1"/>
  <c r="F164" i="2"/>
  <c r="J153" i="1"/>
  <c r="Q118" i="1" s="1"/>
  <c r="S118" i="1" s="1"/>
  <c r="U118" i="1" s="1"/>
  <c r="F162" i="2"/>
  <c r="E131" i="2"/>
  <c r="I120" i="1"/>
  <c r="P96" i="1" s="1"/>
  <c r="R96" i="1" s="1"/>
  <c r="T96" i="1" s="1"/>
  <c r="E33" i="1"/>
  <c r="E37" i="1" s="1"/>
  <c r="E150" i="1"/>
  <c r="F165" i="2"/>
  <c r="J154" i="1"/>
  <c r="Q119" i="1" s="1"/>
  <c r="S119" i="1" s="1"/>
  <c r="U119" i="1" s="1"/>
  <c r="S132" i="2"/>
  <c r="U132" i="2" s="1"/>
  <c r="O355" i="2"/>
  <c r="G218" i="2"/>
  <c r="I218" i="2" s="1"/>
  <c r="P149" i="2" s="1"/>
  <c r="R149" i="2" s="1"/>
  <c r="V149" i="2" s="1"/>
  <c r="H219" i="2"/>
  <c r="J219" i="2" s="1"/>
  <c r="K343" i="2"/>
  <c r="D233" i="1"/>
  <c r="I229" i="1"/>
  <c r="F227" i="1"/>
  <c r="E282" i="1"/>
  <c r="E127" i="1"/>
  <c r="E138" i="2" s="1"/>
  <c r="J221" i="2"/>
  <c r="Q111" i="2"/>
  <c r="J217" i="2"/>
  <c r="Q150" i="2"/>
  <c r="R150" i="2" s="1"/>
  <c r="V150" i="2" s="1"/>
  <c r="J172" i="1"/>
  <c r="Q95" i="1" s="1"/>
  <c r="G91" i="1"/>
  <c r="F37" i="1"/>
  <c r="E79" i="1"/>
  <c r="M222" i="2" s="1"/>
  <c r="P79" i="1"/>
  <c r="R79" i="1" s="1"/>
  <c r="E61" i="1"/>
  <c r="E65" i="1" s="1"/>
  <c r="M58" i="1"/>
  <c r="Q110" i="2"/>
  <c r="H125" i="2"/>
  <c r="F125" i="2"/>
  <c r="E102" i="2"/>
  <c r="F108" i="2"/>
  <c r="I172" i="2"/>
  <c r="P122" i="2" s="1"/>
  <c r="I173" i="2"/>
  <c r="P123" i="2" s="1"/>
  <c r="J119" i="2"/>
  <c r="H121" i="2"/>
  <c r="J114" i="2"/>
  <c r="J168" i="2"/>
  <c r="I167" i="2"/>
  <c r="J127" i="2"/>
  <c r="I126" i="2"/>
  <c r="P115" i="2" s="1"/>
  <c r="J154" i="2"/>
  <c r="Q115" i="2" s="1"/>
  <c r="I139" i="2"/>
  <c r="P143" i="2" s="1"/>
  <c r="R143" i="2" s="1"/>
  <c r="V143" i="2" s="1"/>
  <c r="C316" i="2"/>
  <c r="C317" i="2" s="1"/>
  <c r="C318" i="2" s="1"/>
  <c r="C319" i="2" s="1"/>
  <c r="C320" i="2" s="1"/>
  <c r="C321" i="2" s="1"/>
  <c r="C322" i="2" s="1"/>
  <c r="C323" i="2" s="1"/>
  <c r="C324" i="2" s="1"/>
  <c r="C325" i="2" s="1"/>
  <c r="C326" i="2" s="1"/>
  <c r="C327" i="2" s="1"/>
  <c r="C328" i="2" s="1"/>
  <c r="C329" i="2" s="1"/>
  <c r="C330" i="2" s="1"/>
  <c r="C331" i="2" s="1"/>
  <c r="C332" i="2" s="1"/>
  <c r="C333" i="2" s="1"/>
  <c r="C334" i="2" s="1"/>
  <c r="C335" i="2" s="1"/>
  <c r="E321" i="2"/>
  <c r="G141" i="2" s="1"/>
  <c r="I141" i="2" s="1"/>
  <c r="P145" i="2" s="1"/>
  <c r="R145" i="2" s="1"/>
  <c r="V145" i="2" s="1"/>
  <c r="E320" i="2"/>
  <c r="G140" i="2" s="1"/>
  <c r="I140" i="2" s="1"/>
  <c r="P144" i="2" s="1"/>
  <c r="R144" i="2" s="1"/>
  <c r="V144" i="2" s="1"/>
  <c r="E317" i="2"/>
  <c r="G137" i="2" s="1"/>
  <c r="E315" i="2"/>
  <c r="G135" i="2" s="1"/>
  <c r="I135" i="2" s="1"/>
  <c r="P139" i="2" s="1"/>
  <c r="R139" i="2" s="1"/>
  <c r="V139" i="2" s="1"/>
  <c r="F134" i="2" l="1"/>
  <c r="E161" i="2"/>
  <c r="I150" i="1"/>
  <c r="F155" i="1"/>
  <c r="G36" i="1"/>
  <c r="J123" i="1"/>
  <c r="E284" i="1"/>
  <c r="E285" i="1" s="1"/>
  <c r="E308" i="1" s="1"/>
  <c r="E288" i="1"/>
  <c r="K230" i="1"/>
  <c r="M233" i="1" s="1"/>
  <c r="O233" i="1" s="1"/>
  <c r="I238" i="1"/>
  <c r="K238" i="1" s="1"/>
  <c r="E231" i="1" s="1"/>
  <c r="K229" i="1"/>
  <c r="E229" i="1" s="1"/>
  <c r="I127" i="1"/>
  <c r="K248" i="1"/>
  <c r="I137" i="2"/>
  <c r="P141" i="2" s="1"/>
  <c r="R141" i="2" s="1"/>
  <c r="V141" i="2" s="1"/>
  <c r="E316" i="2"/>
  <c r="G136" i="2" s="1"/>
  <c r="I136" i="2" s="1"/>
  <c r="P140" i="2" s="1"/>
  <c r="R140" i="2" s="1"/>
  <c r="V140" i="2" s="1"/>
  <c r="F272" i="2"/>
  <c r="R95" i="1"/>
  <c r="R115" i="2"/>
  <c r="T115" i="2" s="1"/>
  <c r="G86" i="2"/>
  <c r="M223" i="2" s="1"/>
  <c r="M224" i="2" s="1"/>
  <c r="F24" i="2"/>
  <c r="F26" i="2" s="1"/>
  <c r="F34" i="2" s="1"/>
  <c r="I199" i="2"/>
  <c r="J198" i="2"/>
  <c r="J197" i="2"/>
  <c r="I197" i="2"/>
  <c r="J196" i="2"/>
  <c r="Q116" i="2" s="1"/>
  <c r="I195" i="2"/>
  <c r="J189" i="2"/>
  <c r="I189" i="2"/>
  <c r="P117" i="2" s="1"/>
  <c r="J187" i="2"/>
  <c r="Q107" i="2" s="1"/>
  <c r="J124" i="2"/>
  <c r="I122" i="2"/>
  <c r="P114" i="2" s="1"/>
  <c r="R114" i="2" s="1"/>
  <c r="T114" i="2" s="1"/>
  <c r="J118" i="2"/>
  <c r="Q118" i="2" s="1"/>
  <c r="I117" i="2"/>
  <c r="P138" i="2" s="1"/>
  <c r="R138" i="2" s="1"/>
  <c r="V138" i="2" s="1"/>
  <c r="J115" i="2"/>
  <c r="I113" i="2"/>
  <c r="P113" i="2" s="1"/>
  <c r="R113" i="2" s="1"/>
  <c r="T113" i="2" s="1"/>
  <c r="I112" i="2"/>
  <c r="P135" i="2" s="1"/>
  <c r="R135" i="2" s="1"/>
  <c r="V135" i="2" s="1"/>
  <c r="J110" i="2"/>
  <c r="I109" i="2"/>
  <c r="P134" i="2" s="1"/>
  <c r="J107" i="2"/>
  <c r="Q131" i="2" s="1"/>
  <c r="S131" i="2" s="1"/>
  <c r="U131" i="2" s="1"/>
  <c r="I106" i="2"/>
  <c r="G93" i="2"/>
  <c r="F59" i="2"/>
  <c r="F7" i="2"/>
  <c r="F9" i="2" s="1"/>
  <c r="F32" i="2" s="1"/>
  <c r="G34" i="2" l="1"/>
  <c r="G157" i="2"/>
  <c r="E40" i="2"/>
  <c r="G159" i="2"/>
  <c r="L233" i="1"/>
  <c r="E230" i="1"/>
  <c r="D234" i="1" s="1"/>
  <c r="D235" i="1" s="1"/>
  <c r="K240" i="1" s="1"/>
  <c r="M240" i="1" s="1"/>
  <c r="P105" i="1"/>
  <c r="R105" i="1" s="1"/>
  <c r="T105" i="1" s="1"/>
  <c r="J155" i="1"/>
  <c r="N162" i="2"/>
  <c r="N165" i="2" s="1"/>
  <c r="N166" i="2" s="1"/>
  <c r="F166" i="2"/>
  <c r="K243" i="1"/>
  <c r="E131" i="1"/>
  <c r="E142" i="2" s="1"/>
  <c r="F316" i="1"/>
  <c r="F139" i="1" s="1"/>
  <c r="P131" i="1"/>
  <c r="F315" i="1"/>
  <c r="F138" i="1" s="1"/>
  <c r="K245" i="1"/>
  <c r="E290" i="1"/>
  <c r="E291" i="1" s="1"/>
  <c r="E309" i="1" s="1"/>
  <c r="E294" i="1"/>
  <c r="F276" i="2"/>
  <c r="I279" i="2"/>
  <c r="K279" i="2" s="1"/>
  <c r="E279" i="2" s="1"/>
  <c r="F327" i="2" s="1"/>
  <c r="H147" i="2" s="1"/>
  <c r="J147" i="2" s="1"/>
  <c r="Q123" i="2" s="1"/>
  <c r="S123" i="2" s="1"/>
  <c r="U123" i="2" s="1"/>
  <c r="D282" i="2"/>
  <c r="I278" i="2"/>
  <c r="K278" i="2" s="1"/>
  <c r="E278" i="2" s="1"/>
  <c r="F326" i="2" s="1"/>
  <c r="H146" i="2" s="1"/>
  <c r="J146" i="2" s="1"/>
  <c r="Q122" i="2" s="1"/>
  <c r="S122" i="2" s="1"/>
  <c r="U122" i="2" s="1"/>
  <c r="E297" i="2"/>
  <c r="E303" i="2" s="1"/>
  <c r="E309" i="2" s="1"/>
  <c r="G309" i="2" s="1"/>
  <c r="T95" i="1"/>
  <c r="F121" i="2"/>
  <c r="R134" i="2"/>
  <c r="V134" i="2" s="1"/>
  <c r="J125" i="2"/>
  <c r="J108" i="2"/>
  <c r="J116" i="2"/>
  <c r="H34" i="2"/>
  <c r="G85" i="2"/>
  <c r="I190" i="2"/>
  <c r="P118" i="2" s="1"/>
  <c r="S118" i="2" s="1"/>
  <c r="U118" i="2" s="1"/>
  <c r="E42" i="2"/>
  <c r="F62" i="2"/>
  <c r="F74" i="2" s="1"/>
  <c r="G32" i="2"/>
  <c r="G84" i="2" s="1"/>
  <c r="G87" i="2" s="1"/>
  <c r="F10" i="2"/>
  <c r="F27" i="2"/>
  <c r="F28" i="2" s="1"/>
  <c r="I160" i="2"/>
  <c r="P110" i="2" s="1"/>
  <c r="R110" i="2" s="1"/>
  <c r="T110" i="2" s="1"/>
  <c r="I158" i="2"/>
  <c r="P136" i="2" s="1"/>
  <c r="R136" i="2" s="1"/>
  <c r="V136" i="2" s="1"/>
  <c r="J120" i="2"/>
  <c r="J121" i="2" s="1"/>
  <c r="F314" i="1" l="1"/>
  <c r="F137" i="1" s="1"/>
  <c r="K244" i="1"/>
  <c r="J138" i="1"/>
  <c r="Q115" i="1" s="1"/>
  <c r="S115" i="1" s="1"/>
  <c r="U115" i="1" s="1"/>
  <c r="F149" i="2"/>
  <c r="G175" i="2" s="1"/>
  <c r="I175" i="2" s="1"/>
  <c r="P126" i="2" s="1"/>
  <c r="J139" i="1"/>
  <c r="Q114" i="1" s="1"/>
  <c r="S114" i="1" s="1"/>
  <c r="U114" i="1" s="1"/>
  <c r="F150" i="2"/>
  <c r="G176" i="2" s="1"/>
  <c r="I176" i="2" s="1"/>
  <c r="P125" i="2" s="1"/>
  <c r="G294" i="1"/>
  <c r="G297" i="1" s="1"/>
  <c r="E310" i="1" s="1"/>
  <c r="E296" i="1"/>
  <c r="R131" i="1"/>
  <c r="V131" i="1" s="1"/>
  <c r="E132" i="1"/>
  <c r="F318" i="1"/>
  <c r="F141" i="1" s="1"/>
  <c r="I131" i="1"/>
  <c r="D236" i="1"/>
  <c r="M242" i="1"/>
  <c r="F134" i="1"/>
  <c r="F145" i="2" s="1"/>
  <c r="D283" i="2"/>
  <c r="F288" i="2"/>
  <c r="F289" i="2" s="1"/>
  <c r="F291" i="2" s="1"/>
  <c r="D284" i="2"/>
  <c r="L34" i="2"/>
  <c r="M34" i="2"/>
  <c r="M35" i="2" s="1"/>
  <c r="H32" i="2"/>
  <c r="F63" i="2"/>
  <c r="G69" i="2" s="1"/>
  <c r="F69" i="2"/>
  <c r="F64" i="2"/>
  <c r="G64" i="2" s="1"/>
  <c r="G28" i="2"/>
  <c r="J34" i="2" s="1"/>
  <c r="H28" i="2"/>
  <c r="K34" i="2" s="1"/>
  <c r="H165" i="2" s="1"/>
  <c r="F11" i="2"/>
  <c r="H11" i="2" s="1"/>
  <c r="G81" i="2"/>
  <c r="G82" i="2" s="1"/>
  <c r="I159" i="2"/>
  <c r="P108" i="2" s="1"/>
  <c r="R108" i="2" s="1"/>
  <c r="T108" i="2" s="1"/>
  <c r="G35" i="2"/>
  <c r="G161" i="2" s="1"/>
  <c r="N163" i="2" s="1"/>
  <c r="I157" i="2"/>
  <c r="P111" i="2" s="1"/>
  <c r="R111" i="2" s="1"/>
  <c r="T111" i="2" s="1"/>
  <c r="F35" i="2"/>
  <c r="F75" i="2" l="1"/>
  <c r="H133" i="2"/>
  <c r="T163" i="2" s="1"/>
  <c r="T164" i="2" s="1"/>
  <c r="U166" i="2" s="1"/>
  <c r="F81" i="2"/>
  <c r="H132" i="2"/>
  <c r="J132" i="2" s="1"/>
  <c r="Q151" i="2" s="1"/>
  <c r="S151" i="2" s="1"/>
  <c r="W151" i="2" s="1"/>
  <c r="W153" i="2" s="1"/>
  <c r="W155" i="2" s="1"/>
  <c r="I132" i="1"/>
  <c r="P136" i="1" s="1"/>
  <c r="R136" i="1" s="1"/>
  <c r="V136" i="1" s="1"/>
  <c r="E143" i="2"/>
  <c r="G171" i="2"/>
  <c r="J141" i="1"/>
  <c r="Q117" i="1" s="1"/>
  <c r="S117" i="1" s="1"/>
  <c r="U117" i="1" s="1"/>
  <c r="F152" i="2"/>
  <c r="G177" i="2" s="1"/>
  <c r="I177" i="2" s="1"/>
  <c r="P128" i="2" s="1"/>
  <c r="F148" i="2"/>
  <c r="G174" i="2" s="1"/>
  <c r="I174" i="2" s="1"/>
  <c r="P124" i="2" s="1"/>
  <c r="J137" i="1"/>
  <c r="Q113" i="1" s="1"/>
  <c r="S113" i="1" s="1"/>
  <c r="U113" i="1" s="1"/>
  <c r="Q90" i="2"/>
  <c r="G89" i="2"/>
  <c r="P135" i="1"/>
  <c r="E133" i="1"/>
  <c r="E144" i="2" s="1"/>
  <c r="F319" i="1"/>
  <c r="F142" i="1" s="1"/>
  <c r="J134" i="1"/>
  <c r="E238" i="1"/>
  <c r="D238" i="1"/>
  <c r="E322" i="1"/>
  <c r="E94" i="2"/>
  <c r="G94" i="2" s="1"/>
  <c r="G198" i="2" s="1"/>
  <c r="I236" i="2"/>
  <c r="K236" i="2" s="1"/>
  <c r="F236" i="2" s="1"/>
  <c r="F47" i="2"/>
  <c r="J133" i="2"/>
  <c r="F76" i="2"/>
  <c r="I192" i="2"/>
  <c r="K28" i="2"/>
  <c r="I161" i="2"/>
  <c r="E43" i="2"/>
  <c r="E48" i="2" s="1"/>
  <c r="H69" i="2"/>
  <c r="H81" i="2" s="1"/>
  <c r="H64" i="2"/>
  <c r="K69" i="2" s="1"/>
  <c r="P90" i="2"/>
  <c r="R90" i="2" s="1"/>
  <c r="K32" i="2"/>
  <c r="G11" i="2"/>
  <c r="J32" i="2" s="1"/>
  <c r="I182" i="2"/>
  <c r="P130" i="2" s="1"/>
  <c r="J165" i="2"/>
  <c r="Q130" i="2" s="1"/>
  <c r="J69" i="2"/>
  <c r="G130" i="2" s="1"/>
  <c r="I130" i="2" l="1"/>
  <c r="E73" i="2"/>
  <c r="I186" i="2" s="1"/>
  <c r="G131" i="2"/>
  <c r="I131" i="2" s="1"/>
  <c r="P107" i="2" s="1"/>
  <c r="R107" i="2" s="1"/>
  <c r="T107" i="2" s="1"/>
  <c r="F46" i="2"/>
  <c r="H164" i="2"/>
  <c r="F45" i="2"/>
  <c r="F48" i="2" s="1"/>
  <c r="H163" i="2"/>
  <c r="P116" i="2"/>
  <c r="R116" i="2" s="1"/>
  <c r="T116" i="2" s="1"/>
  <c r="E170" i="2"/>
  <c r="E156" i="2"/>
  <c r="J142" i="1"/>
  <c r="Q116" i="1" s="1"/>
  <c r="S116" i="1" s="1"/>
  <c r="U116" i="1" s="1"/>
  <c r="F153" i="2"/>
  <c r="G178" i="2" s="1"/>
  <c r="I178" i="2" s="1"/>
  <c r="P127" i="2" s="1"/>
  <c r="I171" i="2"/>
  <c r="H199" i="2"/>
  <c r="J199" i="2" s="1"/>
  <c r="Q120" i="2" s="1"/>
  <c r="S120" i="2" s="1"/>
  <c r="U120" i="2" s="1"/>
  <c r="I198" i="2"/>
  <c r="P109" i="2" s="1"/>
  <c r="R109" i="2" s="1"/>
  <c r="T109" i="2" s="1"/>
  <c r="F317" i="1"/>
  <c r="K246" i="1"/>
  <c r="K247" i="1" s="1"/>
  <c r="L248" i="1" s="1"/>
  <c r="M248" i="1" s="1"/>
  <c r="F239" i="1"/>
  <c r="F240" i="1" s="1"/>
  <c r="F242" i="1" s="1"/>
  <c r="F321" i="1" s="1"/>
  <c r="F144" i="1" s="1"/>
  <c r="F155" i="2" s="1"/>
  <c r="E101" i="2" s="1"/>
  <c r="Q110" i="1"/>
  <c r="S110" i="1" s="1"/>
  <c r="U110" i="1" s="1"/>
  <c r="I133" i="1"/>
  <c r="E159" i="1"/>
  <c r="E145" i="1"/>
  <c r="R135" i="1"/>
  <c r="V135" i="1" s="1"/>
  <c r="E318" i="2"/>
  <c r="G138" i="2" s="1"/>
  <c r="I138" i="2" s="1"/>
  <c r="P142" i="2" s="1"/>
  <c r="R142" i="2" s="1"/>
  <c r="V142" i="2" s="1"/>
  <c r="F238" i="2"/>
  <c r="I11" i="2"/>
  <c r="L32" i="2" s="1"/>
  <c r="L35" i="2" s="1"/>
  <c r="S130" i="2"/>
  <c r="U130" i="2" s="1"/>
  <c r="Q117" i="2"/>
  <c r="S117" i="2" s="1"/>
  <c r="I64" i="2"/>
  <c r="K35" i="2"/>
  <c r="M69" i="2"/>
  <c r="E72" i="2"/>
  <c r="E76" i="2" s="1"/>
  <c r="I181" i="2"/>
  <c r="J164" i="2"/>
  <c r="Q129" i="2" s="1"/>
  <c r="H35" i="2"/>
  <c r="P106" i="2" l="1"/>
  <c r="H134" i="2"/>
  <c r="J163" i="2"/>
  <c r="H166" i="2"/>
  <c r="P121" i="2"/>
  <c r="H179" i="2"/>
  <c r="P129" i="2"/>
  <c r="S129" i="2" s="1"/>
  <c r="U129" i="2" s="1"/>
  <c r="J144" i="1"/>
  <c r="Q94" i="1" s="1"/>
  <c r="E90" i="1"/>
  <c r="G90" i="1" s="1"/>
  <c r="F140" i="1"/>
  <c r="F151" i="2" s="1"/>
  <c r="F322" i="1"/>
  <c r="G322" i="1" s="1"/>
  <c r="P137" i="1"/>
  <c r="I159" i="1"/>
  <c r="D248" i="2"/>
  <c r="I244" i="2"/>
  <c r="F242" i="2"/>
  <c r="E296" i="2"/>
  <c r="U117" i="2"/>
  <c r="I129" i="2"/>
  <c r="J35" i="2"/>
  <c r="F170" i="2" l="1"/>
  <c r="F156" i="2"/>
  <c r="J179" i="2"/>
  <c r="J180" i="2" s="1"/>
  <c r="H180" i="2"/>
  <c r="R137" i="1"/>
  <c r="V137" i="1" s="1"/>
  <c r="V142" i="1" s="1"/>
  <c r="V143" i="1" s="1"/>
  <c r="V144" i="1" s="1"/>
  <c r="P142" i="1"/>
  <c r="G81" i="1"/>
  <c r="J140" i="1"/>
  <c r="F145" i="1"/>
  <c r="F159" i="1"/>
  <c r="R94" i="1"/>
  <c r="K263" i="2"/>
  <c r="E298" i="2"/>
  <c r="E299" i="2" s="1"/>
  <c r="E302" i="2"/>
  <c r="I253" i="2"/>
  <c r="K253" i="2" s="1"/>
  <c r="E246" i="2" s="1"/>
  <c r="K245" i="2"/>
  <c r="M248" i="2" s="1"/>
  <c r="O248" i="2" s="1"/>
  <c r="L248" i="2" s="1"/>
  <c r="E245" i="2" s="1"/>
  <c r="K244" i="2"/>
  <c r="E244" i="2" s="1"/>
  <c r="F325" i="2" s="1"/>
  <c r="H145" i="2" s="1"/>
  <c r="J145" i="2" s="1"/>
  <c r="Q121" i="2" s="1"/>
  <c r="S121" i="2" s="1"/>
  <c r="U121" i="2" s="1"/>
  <c r="J183" i="2"/>
  <c r="J134" i="2"/>
  <c r="J162" i="2"/>
  <c r="G85" i="1" l="1"/>
  <c r="H193" i="2" s="1"/>
  <c r="G191" i="2"/>
  <c r="I191" i="2" s="1"/>
  <c r="P119" i="2" s="1"/>
  <c r="I184" i="2"/>
  <c r="Q108" i="1"/>
  <c r="J159" i="1"/>
  <c r="J145" i="1"/>
  <c r="P144" i="1"/>
  <c r="T94" i="1"/>
  <c r="T142" i="1" s="1"/>
  <c r="R142" i="1"/>
  <c r="K260" i="2"/>
  <c r="F329" i="2"/>
  <c r="H149" i="2" s="1"/>
  <c r="J149" i="2" s="1"/>
  <c r="Q126" i="2" s="1"/>
  <c r="S126" i="2" s="1"/>
  <c r="U126" i="2" s="1"/>
  <c r="F330" i="2"/>
  <c r="H150" i="2" s="1"/>
  <c r="J150" i="2" s="1"/>
  <c r="Q125" i="2" s="1"/>
  <c r="S125" i="2" s="1"/>
  <c r="U125" i="2" s="1"/>
  <c r="E322" i="2"/>
  <c r="K259" i="2"/>
  <c r="F328" i="2"/>
  <c r="H148" i="2" s="1"/>
  <c r="J148" i="2" s="1"/>
  <c r="Q124" i="2" s="1"/>
  <c r="S124" i="2" s="1"/>
  <c r="U124" i="2" s="1"/>
  <c r="K258" i="2"/>
  <c r="D249" i="2"/>
  <c r="D250" i="2" s="1"/>
  <c r="K255" i="2" s="1"/>
  <c r="M255" i="2" s="1"/>
  <c r="E308" i="2"/>
  <c r="E304" i="2"/>
  <c r="E305" i="2" s="1"/>
  <c r="E323" i="2" s="1"/>
  <c r="J166" i="2"/>
  <c r="J193" i="2" l="1"/>
  <c r="Q106" i="2" s="1"/>
  <c r="R106" i="2" s="1"/>
  <c r="T106" i="2" s="1"/>
  <c r="G102" i="2"/>
  <c r="T144" i="1"/>
  <c r="R144" i="1"/>
  <c r="S108" i="1"/>
  <c r="Q142" i="1"/>
  <c r="G142" i="2"/>
  <c r="G143" i="2"/>
  <c r="I143" i="2" s="1"/>
  <c r="P147" i="2" s="1"/>
  <c r="R147" i="2" s="1"/>
  <c r="V147" i="2" s="1"/>
  <c r="F332" i="2"/>
  <c r="H152" i="2" s="1"/>
  <c r="J152" i="2" s="1"/>
  <c r="Q128" i="2" s="1"/>
  <c r="S128" i="2" s="1"/>
  <c r="U128" i="2" s="1"/>
  <c r="D251" i="2"/>
  <c r="M257" i="2"/>
  <c r="G308" i="2"/>
  <c r="G311" i="2" s="1"/>
  <c r="E324" i="2" s="1"/>
  <c r="E336" i="2" s="1"/>
  <c r="E310" i="2"/>
  <c r="I102" i="2" l="1"/>
  <c r="Q144" i="1"/>
  <c r="Q146" i="1"/>
  <c r="U108" i="1"/>
  <c r="U142" i="1" s="1"/>
  <c r="S142" i="1"/>
  <c r="F333" i="2"/>
  <c r="H153" i="2" s="1"/>
  <c r="J153" i="2" s="1"/>
  <c r="Q127" i="2" s="1"/>
  <c r="S127" i="2" s="1"/>
  <c r="U127" i="2" s="1"/>
  <c r="G144" i="2"/>
  <c r="I144" i="2" s="1"/>
  <c r="P148" i="2" s="1"/>
  <c r="R148" i="2" s="1"/>
  <c r="V148" i="2" s="1"/>
  <c r="I142" i="2"/>
  <c r="G156" i="2"/>
  <c r="E253" i="2"/>
  <c r="D253" i="2"/>
  <c r="U143" i="1" l="1"/>
  <c r="V146" i="1" s="1"/>
  <c r="S144" i="1"/>
  <c r="S146" i="1"/>
  <c r="G170" i="2"/>
  <c r="P146" i="2"/>
  <c r="I170" i="2"/>
  <c r="F331" i="2"/>
  <c r="H151" i="2" s="1"/>
  <c r="J151" i="2" s="1"/>
  <c r="Q119" i="2" s="1"/>
  <c r="S119" i="2" s="1"/>
  <c r="G96" i="2"/>
  <c r="K261" i="2"/>
  <c r="K262" i="2" s="1"/>
  <c r="L263" i="2" s="1"/>
  <c r="M263" i="2" s="1"/>
  <c r="F254" i="2"/>
  <c r="F255" i="2" s="1"/>
  <c r="F257" i="2" s="1"/>
  <c r="F335" i="2" s="1"/>
  <c r="U144" i="1" l="1"/>
  <c r="R146" i="2"/>
  <c r="V146" i="2" s="1"/>
  <c r="V153" i="2" s="1"/>
  <c r="V154" i="2" s="1"/>
  <c r="V155" i="2" s="1"/>
  <c r="P153" i="2"/>
  <c r="P155" i="2" s="1"/>
  <c r="U119" i="2"/>
  <c r="U153" i="2" s="1"/>
  <c r="S153" i="2"/>
  <c r="S155" i="2" s="1"/>
  <c r="H155" i="2"/>
  <c r="F336" i="2"/>
  <c r="G336" i="2" s="1"/>
  <c r="H156" i="2" l="1"/>
  <c r="H170" i="2"/>
  <c r="J155" i="2"/>
  <c r="J156" i="2" l="1"/>
  <c r="Q105" i="2"/>
  <c r="J170" i="2"/>
  <c r="Q153" i="2" l="1"/>
  <c r="R105" i="2"/>
  <c r="T105" i="2" l="1"/>
  <c r="T153" i="2" s="1"/>
  <c r="R153" i="2"/>
  <c r="I101" i="2"/>
  <c r="Q155" i="2"/>
  <c r="Q157" i="2"/>
  <c r="R155" i="2" l="1"/>
  <c r="S157" i="2"/>
  <c r="T155" i="2"/>
  <c r="U154" i="2"/>
  <c r="V157" i="2" l="1"/>
  <c r="U155" i="2"/>
  <c r="R169" i="2"/>
</calcChain>
</file>

<file path=xl/sharedStrings.xml><?xml version="1.0" encoding="utf-8"?>
<sst xmlns="http://schemas.openxmlformats.org/spreadsheetml/2006/main" count="1248" uniqueCount="461">
  <si>
    <t>TOTAL</t>
  </si>
  <si>
    <t>19% IVA</t>
  </si>
  <si>
    <t>CAJA</t>
  </si>
  <si>
    <t>CONTADO</t>
  </si>
  <si>
    <t>60 DÍAS</t>
  </si>
  <si>
    <t>VENTAS</t>
  </si>
  <si>
    <t>MERCADERÍAS</t>
  </si>
  <si>
    <t>MUEBLES Y ÚTILES</t>
  </si>
  <si>
    <t>PROVEEDORES</t>
  </si>
  <si>
    <t>ACREEDORES</t>
  </si>
  <si>
    <t>IVA C.F.</t>
  </si>
  <si>
    <t>CLIENTES</t>
  </si>
  <si>
    <t>IVA D.F.</t>
  </si>
  <si>
    <t>VEHÍCULOS</t>
  </si>
  <si>
    <t>P.P.M.</t>
  </si>
  <si>
    <t>CUENTA PARTICULAR</t>
  </si>
  <si>
    <t>CAPITAL</t>
  </si>
  <si>
    <t>REV. CAPITAL PROPIO</t>
  </si>
  <si>
    <t>HONORARIOS</t>
  </si>
  <si>
    <t>COSTO DE VENTAS</t>
  </si>
  <si>
    <t>DEPRECIACIÓN</t>
  </si>
  <si>
    <t>CORRECCIÓN MONETARIA</t>
  </si>
  <si>
    <t>CRÉDITOS</t>
  </si>
  <si>
    <t>DEUDOR</t>
  </si>
  <si>
    <t>ACREEDOR</t>
  </si>
  <si>
    <t>ACTIVO</t>
  </si>
  <si>
    <t>PASIVO</t>
  </si>
  <si>
    <t>PÉRDIDA</t>
  </si>
  <si>
    <t>GANANCIA</t>
  </si>
  <si>
    <t>SALDOS</t>
  </si>
  <si>
    <t>INVENTARIO</t>
  </si>
  <si>
    <t>RESULTADO</t>
  </si>
  <si>
    <t>BALANCE GENERAL</t>
  </si>
  <si>
    <t>CUENTAS</t>
  </si>
  <si>
    <t>SUMAS</t>
  </si>
  <si>
    <t>SUMAS IGUALES</t>
  </si>
  <si>
    <t>COMPRAS NOVIEMBRE 2019</t>
  </si>
  <si>
    <t>ESCRITORIOS</t>
  </si>
  <si>
    <t xml:space="preserve">TOTAL </t>
  </si>
  <si>
    <t>MERCADERÍAS (COMPRA GIRO)</t>
  </si>
  <si>
    <t>30 DÍAS</t>
  </si>
  <si>
    <t>DETALLE DEL PAGO</t>
  </si>
  <si>
    <t>NETO</t>
  </si>
  <si>
    <t>IVA</t>
  </si>
  <si>
    <t>CTA. CARGO</t>
  </si>
  <si>
    <t>CONTADO/CAJA</t>
  </si>
  <si>
    <t>GASTOS ADM.</t>
  </si>
  <si>
    <t>SUMAR TODO LO PAGADO EN EFECTIVO O AL CONTADO</t>
  </si>
  <si>
    <t>SUMAR LO QUE QUEDA PENDIENTE DE PAGO DE MERCADERÍAS</t>
  </si>
  <si>
    <t>SUMAR LO QUE QUEDA PENDIENTE DE PAGO DE COMPRAS ACTIVO FIJO</t>
  </si>
  <si>
    <t>TOTAL LIBRO COMPRAS NOVIEMBRE 2019</t>
  </si>
  <si>
    <t>1.-</t>
  </si>
  <si>
    <t xml:space="preserve">1.- </t>
  </si>
  <si>
    <t xml:space="preserve">2.- </t>
  </si>
  <si>
    <t>FORMAS DE PAGO</t>
  </si>
  <si>
    <t>El objetivo n° 1  de esta actividad es crear las facturas por las compras identificando y detallando las condiciones de pago</t>
  </si>
  <si>
    <t>El objetivo n° 2  de esta actividad es registrar las facturas en el libro de compras, asignando las cuentas de cargo por cada factura</t>
  </si>
  <si>
    <t xml:space="preserve">3.- </t>
  </si>
  <si>
    <t>Centralización de compras de noviembre según registros del libro, se debe considerar las cuentas de columna Cuenta de Cargo y agregar IVA C.F.</t>
  </si>
  <si>
    <t>3.-</t>
  </si>
  <si>
    <t>El objetivo n° 3 de esta actividad es contabilizar las compras (centralizar) según facturas ingresadas en libro, además, registrar los pagos en efectivo y deuda por compras al crédito</t>
  </si>
  <si>
    <t xml:space="preserve">                                Para las compras al crédito de mercaderías se utiliza la cuenta PROVEEDORES y para compras al crédito de Activos Fijos se usa la cuenta Acreedores.</t>
  </si>
  <si>
    <t>VENTAS NOVIEMBRE 2019</t>
  </si>
  <si>
    <t>LIBRO VENTAS NOVIEMBRE 2019</t>
  </si>
  <si>
    <t>I2/11</t>
  </si>
  <si>
    <t>AFP PROVIDA</t>
  </si>
  <si>
    <t>CENTRALIZACIÓN VENTAS NOV. 2019</t>
  </si>
  <si>
    <t>Pago en efectivo</t>
  </si>
  <si>
    <t>Crédito a 30 días</t>
  </si>
  <si>
    <t>Monto de la venta neta (sin IVA)</t>
  </si>
  <si>
    <t>Monto del IVA D.F.</t>
  </si>
  <si>
    <t>ll)</t>
  </si>
  <si>
    <t>l)</t>
  </si>
  <si>
    <t>lll)</t>
  </si>
  <si>
    <t>RESUMEN FORMULARIO 29 NOVIEMBRE 2019</t>
  </si>
  <si>
    <t>DETALLE</t>
  </si>
  <si>
    <t>CANTIDAD</t>
  </si>
  <si>
    <t>TOTAL DÉBITOS</t>
  </si>
  <si>
    <t>IVA COMPRAS DEL GIRO</t>
  </si>
  <si>
    <t>IVA COMPRAS ACTIVO FIJO</t>
  </si>
  <si>
    <t>REMANENTE MES ANTERIOR</t>
  </si>
  <si>
    <t>TOTAL CRÉDITOS</t>
  </si>
  <si>
    <t>IVA A PAGAR</t>
  </si>
  <si>
    <t>SOLO CUANDO IVA DÉBITO (VENTAS)MAYOR A IVA CRÉDITO (COMPRAS)</t>
  </si>
  <si>
    <t>REMANENTE MES SIGUIENTE</t>
  </si>
  <si>
    <t>SOLO CUANDO IVA DÉBITO (VENTAS)MENOR A IVA CRÉDITO (COMPRAS)</t>
  </si>
  <si>
    <t>ICA C.F.</t>
  </si>
  <si>
    <t>REMANENTE</t>
  </si>
  <si>
    <t>10,75% RETENCIÓN 2° CATEGORÍA</t>
  </si>
  <si>
    <t>2,00% P.P.M.   (VENTA NETA)</t>
  </si>
  <si>
    <t>SE OBTIENE MULTIPLICANDO TOTAL DE VENTA NETA POR EL % DE PPM</t>
  </si>
  <si>
    <t>TOTAL A PAGAR</t>
  </si>
  <si>
    <t>SUMA DE RET. 10,75% MÁS PPM MÁS IVA SIEMPRE Y CUANDO ARROJE IVA A PAGAR, CUANDO ARROJA REMANENTE A FAVOR DEL CONTRIBUYENTE NO SE  CONSIDERA EN ESTA SUMA.</t>
  </si>
  <si>
    <t>ACT. FIJO</t>
  </si>
  <si>
    <t>GIRO</t>
  </si>
  <si>
    <t xml:space="preserve">DEBE </t>
  </si>
  <si>
    <t>HABER</t>
  </si>
  <si>
    <t>CONTABILIZACIONES 2019</t>
  </si>
  <si>
    <t>NOVIEMBRE</t>
  </si>
  <si>
    <t>DICIEMBRE</t>
  </si>
  <si>
    <t>POR INICIO DE ACTIVIDAD</t>
  </si>
  <si>
    <t>2.-</t>
  </si>
  <si>
    <t>PATENTE COMERCIAL</t>
  </si>
  <si>
    <t>5.-</t>
  </si>
  <si>
    <t xml:space="preserve">POR PAGO DE PATENTE </t>
  </si>
  <si>
    <t xml:space="preserve">ARRIENDO </t>
  </si>
  <si>
    <t>ARRIENDO EN GTÍA.</t>
  </si>
  <si>
    <t>POR PAGO DE ARRIENDO</t>
  </si>
  <si>
    <t xml:space="preserve">RETENCIÓN 10,75% </t>
  </si>
  <si>
    <t>POR PAGO DE HONORARIOS</t>
  </si>
  <si>
    <t>11.-</t>
  </si>
  <si>
    <t>POR CENT. COMPRAS DEL MES</t>
  </si>
  <si>
    <t>POR RETIROS DEL DUEÑO</t>
  </si>
  <si>
    <t xml:space="preserve">IVA D.F. </t>
  </si>
  <si>
    <t>RET. 10,75% 2° CATEG.</t>
  </si>
  <si>
    <t>PPM</t>
  </si>
  <si>
    <t>POR PAGO DE CLIENTES</t>
  </si>
  <si>
    <t>POR PAGO DE FACTURAS PENDIENTES</t>
  </si>
  <si>
    <t>POR PAGO IMPTOS NOV. 2019</t>
  </si>
  <si>
    <t xml:space="preserve">IVA D. F. </t>
  </si>
  <si>
    <t>POR AJUSTE CTA. IVA</t>
  </si>
  <si>
    <t>PPM POR PAGAR</t>
  </si>
  <si>
    <t>POR PROVISIÓN PPM ENERO 2020</t>
  </si>
  <si>
    <t>Confeccionar las diferentes facturas de compra correspondientes a noviembre 2019, detallendo las condiciones de pago</t>
  </si>
  <si>
    <t>CAMIONETA</t>
  </si>
  <si>
    <t>CENTRALIZACIÓN COMPRAS DICIEMBRE 2019</t>
  </si>
  <si>
    <t>Corresonde al PPM del formulario 29 de diciembre 2019 (ver resumen IVA diciembre)</t>
  </si>
  <si>
    <t>El objetivo de este "ajuste contable" dejar saldada (0) la cuenta de IVA que tenga saldo menor IVA D.F. - IVA C.F.)</t>
  </si>
  <si>
    <t>DESARROLLO EJERCICIO C.R.I. - P.I.C.F.</t>
  </si>
  <si>
    <t>FACTURA    N°4  02/11/2019</t>
  </si>
  <si>
    <t>FACTURA N° 11 30/11/2019</t>
  </si>
  <si>
    <t>VEHÍCULO (COMPRA ACTIVO FIJO)</t>
  </si>
  <si>
    <t>TRANSFERENCIA</t>
  </si>
  <si>
    <t>90 DÍAS</t>
  </si>
  <si>
    <t>LIBRO DE COMPRAS NOVIEMBRE 2019</t>
  </si>
  <si>
    <t>MUEBLES OYARCE LTDA.</t>
  </si>
  <si>
    <t>AUTOMOTRIZ CORDILLERA</t>
  </si>
  <si>
    <t>FACTURA N° 5 03/11/2019</t>
  </si>
  <si>
    <t>IMPUESTO ÚNICO A LOS TRAB.</t>
  </si>
  <si>
    <t>POR VENTAS DEL MES</t>
  </si>
  <si>
    <t>LIQUIDACIONES NOVIEMBRE 2019</t>
  </si>
  <si>
    <t>JEFE DE LOCAL</t>
  </si>
  <si>
    <t>SUELDO BASE</t>
  </si>
  <si>
    <t>GRATIFICACIONES</t>
  </si>
  <si>
    <t>301000*4,75/12=$119.146.-</t>
  </si>
  <si>
    <t>HORAS EXTRAS</t>
  </si>
  <si>
    <t>COMISIONES</t>
  </si>
  <si>
    <t>TOTAL HABER</t>
  </si>
  <si>
    <t>ASIG. FAMILIAR</t>
  </si>
  <si>
    <t>COLACIÓN</t>
  </si>
  <si>
    <t>MOVILIZACIÓN</t>
  </si>
  <si>
    <t>TOTAL IMPONIBLE</t>
  </si>
  <si>
    <t>DESCUENTOS</t>
  </si>
  <si>
    <t>A.F.P. PROVIDA 11,45%</t>
  </si>
  <si>
    <t>ISAPRE</t>
  </si>
  <si>
    <t xml:space="preserve">                                                    -COTIZACIÓN OBLIGATORIA = </t>
  </si>
  <si>
    <t>COTIZACIÓN ADICIONAL       =</t>
  </si>
  <si>
    <t xml:space="preserve">NOTA: COTIZACIÓN PACTADA EN LA ISAPRE NO PUEDE SER </t>
  </si>
  <si>
    <t xml:space="preserve">SEGURO DE CESANTÍA </t>
  </si>
  <si>
    <t>CÁLCULO I.U.T.</t>
  </si>
  <si>
    <t>RENTA NETA                         $1.090.031.-</t>
  </si>
  <si>
    <t xml:space="preserve">CANTIDAD A REBAJAR = ÚLTIMA COLUMNA TABLA I.U.T. </t>
  </si>
  <si>
    <t>TOTAL DESCUENTOS</t>
  </si>
  <si>
    <t xml:space="preserve">TOTAL DESCTOS. = AFP PROVIDA </t>
  </si>
  <si>
    <t xml:space="preserve">                                      ISAPRE</t>
  </si>
  <si>
    <t xml:space="preserve">            SEG. CESANTÍA TRAB.</t>
  </si>
  <si>
    <t xml:space="preserve">             I.U.T. A PAGAR           </t>
  </si>
  <si>
    <t>ALCANCE LÍQUIDO</t>
  </si>
  <si>
    <t>ANTICIPOS NOVIEMBRE</t>
  </si>
  <si>
    <t>LÍQUIDO A PAGAR</t>
  </si>
  <si>
    <t>CHOFER</t>
  </si>
  <si>
    <t xml:space="preserve">GRATIFICACIONES </t>
  </si>
  <si>
    <t xml:space="preserve">               SE PAGA POR GRATIFICACIONES EL MONTO MENOR</t>
  </si>
  <si>
    <t>A.F.P. HABITAT 11,27%</t>
  </si>
  <si>
    <t>FONASA</t>
  </si>
  <si>
    <t>SEGURO CESANTÍA = TOTAL IMPONIBLE * 0,0% $0.- NO PAGA EL TRABAJADOR POR SER CONTRATO PLAZO FIJO</t>
  </si>
  <si>
    <t>APORTES EMPLEADOR</t>
  </si>
  <si>
    <t>ACCIDENTE DE TRABAJO</t>
  </si>
  <si>
    <t>TOTAL IMPONIBLE JEFE DE LOCAL</t>
  </si>
  <si>
    <t>TOTAL IMPONIBLE CHOFER</t>
  </si>
  <si>
    <t>TOTAL IMPONIBLE TRABAJADORES</t>
  </si>
  <si>
    <t>0,93% OBLIGATORIO + 1,7% ADIC. =2,63%</t>
  </si>
  <si>
    <t xml:space="preserve">      = TOTAL IMPONIBLE * 2,63% = $47.622.- MONTO QUE APORTA EL EMPLEADOR</t>
  </si>
  <si>
    <r>
      <t>S.I.S. (</t>
    </r>
    <r>
      <rPr>
        <sz val="11"/>
        <color theme="1"/>
        <rFont val="Calibri"/>
        <family val="2"/>
        <scheme val="minor"/>
      </rPr>
      <t>SEGURO INVALIDEZ Y SOBREVIVANCIA)</t>
    </r>
  </si>
  <si>
    <t>1,53% OBLIGATORIO  =1,53%</t>
  </si>
  <si>
    <t xml:space="preserve">      = TOTAL IMPONIBLE * 1,53% = $27.704.- MONTO QUE APORTA EL EMPLEADOR</t>
  </si>
  <si>
    <t>SEGURO CESANTÍA EMPLEADOR</t>
  </si>
  <si>
    <t>EL EMPLEADOR APORTA EL 2,4% POR SER ESTE CONTRATO DE PLAZO INDEFINIDO</t>
  </si>
  <si>
    <t>EL EMPLEADOR APORTA EL 3,0% POR SER ESTE CONTRATO DE PLAZO FIJO</t>
  </si>
  <si>
    <t>TOTAL APORTE SEG. CES. EMPLEADOR</t>
  </si>
  <si>
    <t>CENTRALIZACIÓN REMUNERACIONES</t>
  </si>
  <si>
    <t>COMISIÓN</t>
  </si>
  <si>
    <t>VIÁTICO (SOLO EN DICIEMBRE)</t>
  </si>
  <si>
    <t>AFP HABITAT</t>
  </si>
  <si>
    <t>I.S.P. (7,0% FONASA)</t>
  </si>
  <si>
    <t>JEFE LOCAL</t>
  </si>
  <si>
    <t>I.U.T.</t>
  </si>
  <si>
    <t>ACCIDENTES DE TRABAJO</t>
  </si>
  <si>
    <t>S.I.S.</t>
  </si>
  <si>
    <t>SEG. CESANTÍA EMPLEADOR</t>
  </si>
  <si>
    <t>CORRESPONDE AL APORTE DE ACC. DEL TRABAJO</t>
  </si>
  <si>
    <t>S.I.S. POR PAGAR</t>
  </si>
  <si>
    <t>SEG. CESANTÍA EMPLEADOR POR PAGAR</t>
  </si>
  <si>
    <t>SEG. CESANTÍA TRABAJADOR</t>
  </si>
  <si>
    <t>JEFE LOCAL POR TENER CONTRATO INDEFINIDO</t>
  </si>
  <si>
    <t>CORRESPONDE AL JEFE DE LOCAL POR TENER UNA RENTA NETA SUPERIOR A $664.592.-</t>
  </si>
  <si>
    <t>CORRESPONDE A LA DEUDA QUE ASUME EL EMPLEADOR</t>
  </si>
  <si>
    <t>REPRESENTA PÉRDIDA PARA LA EMPRESA</t>
  </si>
  <si>
    <t>REPRESENTA DEUDA PARA LA EMPRESA</t>
  </si>
  <si>
    <t xml:space="preserve">ANTICIPOS </t>
  </si>
  <si>
    <t xml:space="preserve">CORRESPONDE A LA SUMA DEL LÍQUIDO A PAGAR DE LAS DOS LIQUIDACIONES </t>
  </si>
  <si>
    <t>ACHS</t>
  </si>
  <si>
    <t>POR CENT. SUELDOS DEL MES</t>
  </si>
  <si>
    <t>POR CONTAB. ANTICIPOS DEL MES</t>
  </si>
  <si>
    <t>ANTICIPO TRABAJADORES</t>
  </si>
  <si>
    <t>BANCO SANTANDER</t>
  </si>
  <si>
    <t>POR DEPOSITOS EN CTA. CTE</t>
  </si>
  <si>
    <t xml:space="preserve">PROVEEDORES </t>
  </si>
  <si>
    <t xml:space="preserve">ACREEDORES </t>
  </si>
  <si>
    <t>SALDO CAJA</t>
  </si>
  <si>
    <t>SALDO BANCO</t>
  </si>
  <si>
    <t>POR PAGO DE IMPOSICIONES</t>
  </si>
  <si>
    <t>SUMAS MES</t>
  </si>
  <si>
    <t>N° OPERACIÓN</t>
  </si>
  <si>
    <t>SEGÚN GUÍA</t>
  </si>
  <si>
    <t xml:space="preserve">NOV. </t>
  </si>
  <si>
    <t>DIC.</t>
  </si>
  <si>
    <t>6.-</t>
  </si>
  <si>
    <t>7.-</t>
  </si>
  <si>
    <t>8.-</t>
  </si>
  <si>
    <t>9.-</t>
  </si>
  <si>
    <t>10.-</t>
  </si>
  <si>
    <t xml:space="preserve">ANTICIPO TRAB. </t>
  </si>
  <si>
    <t>4.-</t>
  </si>
  <si>
    <t xml:space="preserve">4.- </t>
  </si>
  <si>
    <t>12.-</t>
  </si>
  <si>
    <t>14.-</t>
  </si>
  <si>
    <t>15.-</t>
  </si>
  <si>
    <t>16.-</t>
  </si>
  <si>
    <t>18.-</t>
  </si>
  <si>
    <t>POR EL COSTO DE LAS MERCDS. VENDIDAS</t>
  </si>
  <si>
    <t>20.-</t>
  </si>
  <si>
    <t>21.-</t>
  </si>
  <si>
    <t>22.-</t>
  </si>
  <si>
    <t>23.-</t>
  </si>
  <si>
    <t>POR C.M. ACTIVOS FIJOS</t>
  </si>
  <si>
    <t>24.-</t>
  </si>
  <si>
    <t>CRÉDITO POR COMPRA ACTIVO FIJO</t>
  </si>
  <si>
    <t>POR CONTAB. CRÉDITO 4%  ACT. FIJO</t>
  </si>
  <si>
    <t xml:space="preserve">DÉBITOS </t>
  </si>
  <si>
    <t xml:space="preserve">RAZÓN SOCIAL </t>
  </si>
  <si>
    <t>RUT</t>
  </si>
  <si>
    <t>DIRECCIÓN</t>
  </si>
  <si>
    <t>PERIODO COMPRENDIDO ENTRE EL 01 DE NOVIEMBRE DE 2019 Y EL 31 DE DICIEMBRE DE 2019</t>
  </si>
  <si>
    <t>CRÉDITO 4% ACTIVO FIJO</t>
  </si>
  <si>
    <t>ARRIENDO EN GARANTÍA</t>
  </si>
  <si>
    <t>25.-</t>
  </si>
  <si>
    <t>RET. 10,75% 2° CATEGORÍA</t>
  </si>
  <si>
    <t>ISP (FONASA)</t>
  </si>
  <si>
    <t>SEGURO CESANTÍA EMPL. POR PAGAR</t>
  </si>
  <si>
    <t>SEGURO CESANTÍA TRAB. POR PAGAR</t>
  </si>
  <si>
    <t>POR C.M. CAPITAL INICIAL</t>
  </si>
  <si>
    <t xml:space="preserve">POR C.M. RETIROS </t>
  </si>
  <si>
    <t>PÉRDIDA IVA C.F.</t>
  </si>
  <si>
    <t>IVA C.F</t>
  </si>
  <si>
    <t>POR LS DEPREC. DEL ACTIVO FIJO</t>
  </si>
  <si>
    <t>POR AJUSTE REMANENTE IVA C.F.</t>
  </si>
  <si>
    <t>ARRIENDO</t>
  </si>
  <si>
    <t>GASTOS ADMINISTRACIÓN</t>
  </si>
  <si>
    <t>GRATIFICACIÓN</t>
  </si>
  <si>
    <t>AGUINALDO NAVIDAD</t>
  </si>
  <si>
    <t>ACCIDENTE TRABAJO</t>
  </si>
  <si>
    <t>SEGURO CESANT. EMPL.</t>
  </si>
  <si>
    <t>AGUINALDO NAVIDAD (SOLO EN DICIEMBRE)</t>
  </si>
  <si>
    <t xml:space="preserve">UTILIDAD DEL EJERCICIO </t>
  </si>
  <si>
    <t>13.-</t>
  </si>
  <si>
    <t>17.-</t>
  </si>
  <si>
    <t>TARJETA DE EXISTENCIA MERCADERÍAS</t>
  </si>
  <si>
    <t>COMPRA</t>
  </si>
  <si>
    <t>UNIDADES</t>
  </si>
  <si>
    <t>VALORES</t>
  </si>
  <si>
    <t>VENTA</t>
  </si>
  <si>
    <t>VER 325 AL 330</t>
  </si>
  <si>
    <t>VEHÍCULO</t>
  </si>
  <si>
    <t>total iva de ventas</t>
  </si>
  <si>
    <t>centralización</t>
  </si>
  <si>
    <t>ASIENTO</t>
  </si>
  <si>
    <t>CONTABILIZACIÓN</t>
  </si>
  <si>
    <t>TOTAL IVA DE COMPRAS</t>
  </si>
  <si>
    <t>COMPRAS DICIEMBRE 2019</t>
  </si>
  <si>
    <t>VENTAS DICIEMBRE 2019</t>
  </si>
  <si>
    <t>CENTRALIZACIÓN VENTAS DIC. 2019</t>
  </si>
  <si>
    <t>RESUMEN FORMULARIO 29 DICIEMBRE 2019</t>
  </si>
  <si>
    <t>FACTURA    N°4  04/12/2019</t>
  </si>
  <si>
    <t>CHEQUE N° 3</t>
  </si>
  <si>
    <t>LIBRO VENTAS DICIEMBRE 2019</t>
  </si>
  <si>
    <t xml:space="preserve">BANCO ESTADO </t>
  </si>
  <si>
    <t>CLIENTE</t>
  </si>
  <si>
    <t>FACTURA N° 5 05/12/2019</t>
  </si>
  <si>
    <t>PAGO C/CHEQUE</t>
  </si>
  <si>
    <t>FACTURA    N°10 16/12/2019</t>
  </si>
  <si>
    <t>ARCHIVADORES</t>
  </si>
  <si>
    <t>GASTOS ADM. (COMPRA GIRO)</t>
  </si>
  <si>
    <t>MUEBLES Y ÚTILES (COMPRA ACTIVO FIJO)</t>
  </si>
  <si>
    <t>COMPUTADOR</t>
  </si>
  <si>
    <t>CHEQUE N° 6</t>
  </si>
  <si>
    <t>FACTURA    N°12 18/12/2019</t>
  </si>
  <si>
    <t>LÁPIZ LÓPEZ</t>
  </si>
  <si>
    <t>TODOCOMPUTACIÓN</t>
  </si>
  <si>
    <t>MUEBLES Y ÚT.</t>
  </si>
  <si>
    <t>SUMAR PAGOS CON CHEQUE</t>
  </si>
  <si>
    <t>LIQUIDACIONES DICIEMBRE 2019</t>
  </si>
  <si>
    <t>VTA. NETA</t>
  </si>
  <si>
    <t>ES UN MONTO IMPONIBLE</t>
  </si>
  <si>
    <t>OP. 13 EN DIC.</t>
  </si>
  <si>
    <t xml:space="preserve">IMPONIBLE </t>
  </si>
  <si>
    <t xml:space="preserve">COTIZACIÓN OBLIGATORIA = TOTAL IMP. </t>
  </si>
  <si>
    <t xml:space="preserve">COTIZACIÓN PACTADA </t>
  </si>
  <si>
    <t>COTIZACIÓN ADICIONAL = COTIZACIÓN PACTADA   =</t>
  </si>
  <si>
    <t>DESCTOS. PREV</t>
  </si>
  <si>
    <t>IMPTO. DETERM.</t>
  </si>
  <si>
    <t>UTM DIC. 2019</t>
  </si>
  <si>
    <t>DESDE</t>
  </si>
  <si>
    <t>HASTA</t>
  </si>
  <si>
    <t>FACTOR</t>
  </si>
  <si>
    <t>CANT. A REB.</t>
  </si>
  <si>
    <t>TABLA I.U.T. EN TRAMO U.T.M.</t>
  </si>
  <si>
    <t>TABLA I.U.T. EN VALOR ($) U.T.M.</t>
  </si>
  <si>
    <t>TRAMO</t>
  </si>
  <si>
    <t>Y MÁS</t>
  </si>
  <si>
    <t>IMPTO DETERM. = RTA. NETA</t>
  </si>
  <si>
    <t>I.U.T. A PAGAR = IMPTO. DETERM. - CANT. A REBAJAR</t>
  </si>
  <si>
    <t>IMPTO. A PAGAR</t>
  </si>
  <si>
    <t>ANTICIPOS DICIEMBRE</t>
  </si>
  <si>
    <t xml:space="preserve">ALCANCE LÍQUIDO = TOTAL HABER </t>
  </si>
  <si>
    <t xml:space="preserve">NOTA: SE EL 25% </t>
  </si>
  <si>
    <t>ES MENOR AL TOPE LEGAL</t>
  </si>
  <si>
    <t xml:space="preserve">NO PAGA I.U.T. POR SER LA RENTA NETA MENOR A </t>
  </si>
  <si>
    <t>AGUINALDO (SOLO EN DICIEMBRE)</t>
  </si>
  <si>
    <t>AGUINALDO (USAR EN LIQ. DIC. 2019)</t>
  </si>
  <si>
    <t>AGUINALDO</t>
  </si>
  <si>
    <t>DETALLE ACREEDORES</t>
  </si>
  <si>
    <t>SALDO NOV.</t>
  </si>
  <si>
    <t xml:space="preserve">EXISTENCIA FINAL </t>
  </si>
  <si>
    <t>DEBE</t>
  </si>
  <si>
    <t>S.DEUDOR</t>
  </si>
  <si>
    <t>IVA VTA NOV.</t>
  </si>
  <si>
    <t>IVA VTA DIC.</t>
  </si>
  <si>
    <t>IVA C. NOV.</t>
  </si>
  <si>
    <t>IVA C. DIC.</t>
  </si>
  <si>
    <t>S. ACREEDOR</t>
  </si>
  <si>
    <t>E 161</t>
  </si>
  <si>
    <t>G 161</t>
  </si>
  <si>
    <t>PÉRD. IVA C.F.</t>
  </si>
  <si>
    <t>H 222</t>
  </si>
  <si>
    <t>F 133</t>
  </si>
  <si>
    <t>H 133</t>
  </si>
  <si>
    <t>G 194</t>
  </si>
  <si>
    <t>H 194</t>
  </si>
  <si>
    <t>CLASIFICACIÓN</t>
  </si>
  <si>
    <t>REMANTE NOV.</t>
  </si>
  <si>
    <t>REM A DIC.</t>
  </si>
  <si>
    <t>AJUSTE DE LA CUENTA IVA</t>
  </si>
  <si>
    <t>AJUSTE CTA. IVA</t>
  </si>
  <si>
    <t>AJUSTE CTA IVA</t>
  </si>
  <si>
    <t>FIFO</t>
  </si>
  <si>
    <t>VER 335 AL 340</t>
  </si>
  <si>
    <t>VALOR LIBRO</t>
  </si>
  <si>
    <t>C.M.</t>
  </si>
  <si>
    <t>REAJUSTE</t>
  </si>
  <si>
    <t xml:space="preserve">SALDO </t>
  </si>
  <si>
    <t>REAJUSTADO</t>
  </si>
  <si>
    <t>CRÉDITO</t>
  </si>
  <si>
    <t>COMPRA AF</t>
  </si>
  <si>
    <t>%</t>
  </si>
  <si>
    <t>SALDO</t>
  </si>
  <si>
    <t>ANTES DEPREC.</t>
  </si>
  <si>
    <t>VIDA ÚTIL</t>
  </si>
  <si>
    <t>DESGASTE</t>
  </si>
  <si>
    <t>DEPREC.</t>
  </si>
  <si>
    <t>EJERCICIO</t>
  </si>
  <si>
    <t>BALANCE</t>
  </si>
  <si>
    <t>VALOR NETO FACT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</si>
  <si>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</si>
  <si>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</si>
  <si>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</si>
  <si>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</si>
  <si>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</si>
  <si>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</si>
  <si>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</si>
  <si>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</si>
  <si>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</si>
  <si>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</si>
  <si>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</si>
  <si>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A X B = C</t>
  </si>
  <si>
    <t>A +C = D</t>
  </si>
  <si>
    <t>D X E = F</t>
  </si>
  <si>
    <t>D - F = G</t>
  </si>
  <si>
    <t>120 MESES X 10</t>
  </si>
  <si>
    <t>NOV. Y DIC. 2019</t>
  </si>
  <si>
    <t>G / H X I  =  J</t>
  </si>
  <si>
    <t>G - J = K</t>
  </si>
  <si>
    <t>RETIROS</t>
  </si>
  <si>
    <t>MES</t>
  </si>
  <si>
    <t>MONTO</t>
  </si>
  <si>
    <t>SALDO RTDO.</t>
  </si>
  <si>
    <t>Confeccionar las diferentes facturas de compra correspondientes a diciembre 2019, detallendo las condiciones de pago</t>
  </si>
  <si>
    <t>SUMA DE IVA DE:  MERCADERÍAS (ESCRITORIOS) Y ARCHIVADORES</t>
  </si>
  <si>
    <t xml:space="preserve">SUMA DE IVA DE: COMPUTADOR </t>
  </si>
  <si>
    <t>HONORARIO BRUTO $220.000.- x 10,75% DE RETENCIÓN 2° CATEGORÍA.</t>
  </si>
  <si>
    <t xml:space="preserve">SUMA DE IVA DE: MERCADERÍAS (ESCRITORIOS) </t>
  </si>
  <si>
    <t>SUMA DE IVA DE:  CAMIONETA</t>
  </si>
  <si>
    <t>HONORARIO BRUTO $250.000.- x 10,75% DE RETENCIÓN 2° CATEGORÍA.</t>
  </si>
  <si>
    <t xml:space="preserve">              MENOR A LA COTIZACIÓN OBLIGATORIA</t>
  </si>
  <si>
    <t xml:space="preserve">      = TOTAL IMPONIBLE * 2,63% = $63.385.- MONTO QUE APORTA EL EMPLEADOR</t>
  </si>
  <si>
    <t xml:space="preserve">      = TOTAL IMPONIBLE * 1,53% = $36.874.- MONTO QUE APORTA EL EMPLEADOR</t>
  </si>
  <si>
    <t>EJERCICIO N° 2</t>
  </si>
  <si>
    <t>INGRESAR</t>
  </si>
  <si>
    <t>N° 2</t>
  </si>
  <si>
    <t>ANTICIPO TRABAJADORES (AGUINALDO)</t>
  </si>
  <si>
    <t>521028.- / 49.623 (UTM DIC.)= 10,50</t>
  </si>
  <si>
    <t>10,50.- / 49.673 (UTM ENERO 2020)= 0,0</t>
  </si>
  <si>
    <t>OTROS INGRESOS</t>
  </si>
  <si>
    <t>AFP PROVIDA   (CLENTE)</t>
  </si>
  <si>
    <t>TRATAMIENTO DE CUENTAS</t>
  </si>
  <si>
    <t>CONSISTE EN SABER CUANDO UNA CUENTA SE CARGA, CUANDO UNA CUENTA SE ABONA Y QUE INDICA SU SALDO</t>
  </si>
  <si>
    <t>P. UNIT. COMPRA</t>
  </si>
  <si>
    <t>REAJ. R. M.ANT.</t>
  </si>
  <si>
    <t>% C.M.</t>
  </si>
  <si>
    <t>IMPTO RTA. 1° CATEGORÍA</t>
  </si>
  <si>
    <t>IMPTO. DIRECTO</t>
  </si>
  <si>
    <t>APLICA SOBRE LA UTILIDAD DEL BALANCE (R.L.I.)</t>
  </si>
  <si>
    <t>REGIMÉN TRIBUTARIO: 14 A  25% DE IMPTO. SOBRE LA R.L.I.</t>
  </si>
  <si>
    <t xml:space="preserve">                                               RENTA ATRIBUIDA.</t>
  </si>
  <si>
    <t>REGIMÉN TRIBUTARIO: 14 B  27% DE IMPTO. SOBRE LA R.L.I.</t>
  </si>
  <si>
    <t>SEMI INTEGRADO</t>
  </si>
  <si>
    <t xml:space="preserve">                                               65% CRÉDITO POR IMTO. A LA RENTA 1° CATEG.</t>
  </si>
  <si>
    <t xml:space="preserve">                                               100% CRÉDITO POR IMPTO. A LA RENTA 1° CATEG.</t>
  </si>
  <si>
    <t>REGIMÉN TRIBUTARIO: 14  TER (CONTABILIDAD SIMPLIFICADA) DIF. ENTRE INGRESOS Y GASTOS, NO DETERMINAN C.M. - DEPREC.</t>
  </si>
  <si>
    <t>RENTA PRESUNTA: SE PRESUME QUE LA RENTA TRIBUTABLE ES EL AVALUO DE LOS BIENES: TRANSPORTISTAS, BIENES RAICES AGRÍCOLAS Y NO AGRÍCOLAS. EL IMPTO A LA RENTA SE DETERMINA APLICANDO EL 10%</t>
  </si>
  <si>
    <t>FUNDO</t>
  </si>
  <si>
    <t xml:space="preserve">AVALUO FISCAL DE </t>
  </si>
  <si>
    <t>150.000.000.-</t>
  </si>
  <si>
    <t>3,750,000.-</t>
  </si>
  <si>
    <t>IMPUESTO ÚNICO DE PRIMERA CATEGORÍA (PEQUEÑOS CONTRIBUYENTES) = 2 U.T.M. A DICIEMBRE DE CADA AÑO</t>
  </si>
  <si>
    <t>DETERMINACIÓN IMPUESTO A LA RENTA</t>
  </si>
  <si>
    <t>CONTRIBUYENTE ARTÍCULO 14 A</t>
  </si>
  <si>
    <t>IMPTO. RTA. 1 ° CATEGORÍA</t>
  </si>
  <si>
    <t>DUEÑO</t>
  </si>
  <si>
    <t xml:space="preserve">UTM DIC. 2019 </t>
  </si>
  <si>
    <t>U.T.M.</t>
  </si>
  <si>
    <t>U.T.A.</t>
  </si>
  <si>
    <t>CANT. A REB</t>
  </si>
  <si>
    <t>I.G.C.</t>
  </si>
  <si>
    <t>SEGÚN TABLA</t>
  </si>
  <si>
    <t>RETIROS ATRIBUIDOS</t>
  </si>
  <si>
    <t>X</t>
  </si>
  <si>
    <t>MENOS CANT. A REBAJAR</t>
  </si>
  <si>
    <t>I.G.C. A PAGAR</t>
  </si>
  <si>
    <t>CRÉDITO POR IMPTO A LA RENTA 1° CAT</t>
  </si>
  <si>
    <t>SALDO A FAVOR CONTRIB.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</si>
</sst>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\ * #,##0.00_-;\-&quot;$&quot;\ * #,##0.00_-;_-&quot;$&quot;\ * &quot;-&quot;??_-;_-@_-"/>
    <numFmt numFmtId="164" formatCode="0.0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217">
    <xf numFmtId="0" fontId="0" fillId="0" borderId="0" xfId="0"/>
    <xf numFmtId="0" fontId="0" fillId="0" borderId="1" xfId="0" applyBorder="1"/>
    <xf numFmtId="9" fontId="0" fillId="0" borderId="0" xfId="0" applyNumberFormat="1"/>
    <xf numFmtId="14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  <xf numFmtId="1" fontId="0" fillId="0" borderId="1" xfId="0" applyNumberFormat="1" applyBorder="1"/>
    <xf numFmtId="9" fontId="0" fillId="0" borderId="1" xfId="0" applyNumberFormat="1" applyBorder="1"/>
    <xf numFmtId="0" fontId="0" fillId="0" borderId="0" xfId="0" applyFill="1" applyBorder="1"/>
    <xf numFmtId="0" fontId="0" fillId="0" borderId="0" xfId="0" applyBorder="1"/>
    <xf numFmtId="1" fontId="0" fillId="0" borderId="0" xfId="0" applyNumberFormat="1" applyBorder="1"/>
    <xf numFmtId="0" fontId="0" fillId="0" borderId="0" xfId="0" applyFill="1" applyBorder="1" applyAlignment="1">
      <alignment horizontal="right"/>
    </xf>
    <xf numFmtId="9" fontId="0" fillId="0" borderId="0" xfId="0" applyNumberFormat="1" applyBorder="1"/>
    <xf numFmtId="0" fontId="2" fillId="0" borderId="1" xfId="0" applyFont="1" applyBorder="1"/>
    <xf numFmtId="1" fontId="0" fillId="2" borderId="0" xfId="0" applyNumberFormat="1" applyFill="1" applyBorder="1"/>
    <xf numFmtId="1" fontId="0" fillId="3" borderId="0" xfId="0" applyNumberFormat="1" applyFill="1" applyBorder="1"/>
    <xf numFmtId="1" fontId="0" fillId="5" borderId="0" xfId="0" applyNumberFormat="1" applyFill="1" applyBorder="1"/>
    <xf numFmtId="1" fontId="0" fillId="6" borderId="0" xfId="0" applyNumberFormat="1" applyFill="1" applyBorder="1"/>
    <xf numFmtId="1" fontId="0" fillId="7" borderId="0" xfId="0" applyNumberFormat="1" applyFill="1" applyBorder="1"/>
    <xf numFmtId="1" fontId="0" fillId="8" borderId="0" xfId="0" applyNumberFormat="1" applyFill="1" applyBorder="1"/>
    <xf numFmtId="1" fontId="0" fillId="9" borderId="0" xfId="0" applyNumberFormat="1" applyFill="1" applyBorder="1"/>
    <xf numFmtId="0" fontId="0" fillId="3" borderId="0" xfId="0" applyFill="1" applyBorder="1"/>
    <xf numFmtId="1" fontId="0" fillId="10" borderId="0" xfId="0" applyNumberFormat="1" applyFill="1" applyBorder="1"/>
    <xf numFmtId="0" fontId="0" fillId="5" borderId="0" xfId="0" applyFill="1" applyBorder="1"/>
    <xf numFmtId="1" fontId="0" fillId="0" borderId="0" xfId="0" applyNumberFormat="1" applyFill="1" applyBorder="1"/>
    <xf numFmtId="0" fontId="0" fillId="2" borderId="0" xfId="0" applyFill="1" applyBorder="1"/>
    <xf numFmtId="0" fontId="0" fillId="10" borderId="0" xfId="0" applyFill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/>
    <xf numFmtId="0" fontId="0" fillId="0" borderId="1" xfId="0" applyFill="1" applyBorder="1"/>
    <xf numFmtId="0" fontId="0" fillId="6" borderId="1" xfId="0" applyFill="1" applyBorder="1"/>
    <xf numFmtId="16" fontId="0" fillId="0" borderId="1" xfId="0" applyNumberFormat="1" applyFill="1" applyBorder="1"/>
    <xf numFmtId="0" fontId="0" fillId="3" borderId="1" xfId="0" applyFill="1" applyBorder="1"/>
    <xf numFmtId="1" fontId="0" fillId="9" borderId="1" xfId="0" applyNumberFormat="1" applyFill="1" applyBorder="1"/>
    <xf numFmtId="1" fontId="0" fillId="0" borderId="1" xfId="0" applyNumberFormat="1" applyFill="1" applyBorder="1"/>
    <xf numFmtId="1" fontId="0" fillId="10" borderId="1" xfId="0" applyNumberFormat="1" applyFill="1" applyBorder="1"/>
    <xf numFmtId="1" fontId="0" fillId="5" borderId="1" xfId="0" applyNumberFormat="1" applyFill="1" applyBorder="1"/>
    <xf numFmtId="0" fontId="0" fillId="5" borderId="1" xfId="0" applyFill="1" applyBorder="1"/>
    <xf numFmtId="1" fontId="0" fillId="2" borderId="1" xfId="0" applyNumberFormat="1" applyFill="1" applyBorder="1"/>
    <xf numFmtId="0" fontId="0" fillId="2" borderId="0" xfId="0" applyFill="1"/>
    <xf numFmtId="0" fontId="0" fillId="0" borderId="0" xfId="0" applyBorder="1" applyAlignment="1"/>
    <xf numFmtId="1" fontId="0" fillId="0" borderId="0" xfId="0" applyNumberFormat="1" applyFill="1"/>
    <xf numFmtId="0" fontId="0" fillId="0" borderId="0" xfId="0" applyFill="1"/>
    <xf numFmtId="1" fontId="0" fillId="8" borderId="1" xfId="0" applyNumberFormat="1" applyFill="1" applyBorder="1"/>
    <xf numFmtId="0" fontId="0" fillId="11" borderId="1" xfId="0" applyFill="1" applyBorder="1"/>
    <xf numFmtId="0" fontId="0" fillId="12" borderId="1" xfId="0" applyFill="1" applyBorder="1"/>
    <xf numFmtId="0" fontId="0" fillId="12" borderId="0" xfId="0" applyFill="1" applyBorder="1"/>
    <xf numFmtId="1" fontId="0" fillId="3" borderId="1" xfId="0" applyNumberFormat="1" applyFill="1" applyBorder="1"/>
    <xf numFmtId="1" fontId="0" fillId="0" borderId="1" xfId="0" applyNumberFormat="1" applyBorder="1" applyAlignment="1">
      <alignment horizontal="center"/>
    </xf>
    <xf numFmtId="10" fontId="0" fillId="0" borderId="1" xfId="0" applyNumberFormat="1" applyBorder="1"/>
    <xf numFmtId="0" fontId="0" fillId="9" borderId="0" xfId="0" applyFill="1" applyBorder="1"/>
    <xf numFmtId="0" fontId="0" fillId="4" borderId="0" xfId="0" applyFill="1" applyBorder="1"/>
    <xf numFmtId="0" fontId="0" fillId="2" borderId="1" xfId="0" applyFill="1" applyBorder="1"/>
    <xf numFmtId="0" fontId="0" fillId="11" borderId="1" xfId="0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11" borderId="1" xfId="0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1" fontId="0" fillId="0" borderId="1" xfId="0" applyNumberFormat="1" applyBorder="1" applyAlignment="1">
      <alignment horizontal="left"/>
    </xf>
    <xf numFmtId="1" fontId="0" fillId="0" borderId="1" xfId="0" applyNumberForma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" fontId="0" fillId="0" borderId="0" xfId="0" applyNumberFormat="1" applyAlignment="1">
      <alignment horizontal="left"/>
    </xf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0" fillId="13" borderId="1" xfId="0" applyNumberFormat="1" applyFill="1" applyBorder="1"/>
    <xf numFmtId="0" fontId="0" fillId="13" borderId="1" xfId="0" applyFill="1" applyBorder="1"/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1" fontId="0" fillId="2" borderId="0" xfId="0" applyNumberFormat="1" applyFill="1"/>
    <xf numFmtId="0" fontId="0" fillId="0" borderId="1" xfId="0" applyFill="1" applyBorder="1" applyAlignment="1">
      <alignment horizontal="left"/>
    </xf>
    <xf numFmtId="1" fontId="0" fillId="0" borderId="1" xfId="0" applyNumberFormat="1" applyFill="1" applyBorder="1" applyAlignment="1">
      <alignment horizontal="left"/>
    </xf>
    <xf numFmtId="1" fontId="0" fillId="0" borderId="1" xfId="0" applyNumberFormat="1" applyFill="1" applyBorder="1" applyAlignment="1">
      <alignment horizontal="right"/>
    </xf>
    <xf numFmtId="1" fontId="0" fillId="11" borderId="1" xfId="0" applyNumberFormat="1" applyFill="1" applyBorder="1" applyAlignment="1">
      <alignment horizontal="right"/>
    </xf>
    <xf numFmtId="1" fontId="0" fillId="11" borderId="1" xfId="0" applyNumberFormat="1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2" borderId="12" xfId="0" applyFill="1" applyBorder="1" applyAlignment="1">
      <alignment horizontal="right"/>
    </xf>
    <xf numFmtId="0" fontId="0" fillId="4" borderId="0" xfId="0" applyFill="1"/>
    <xf numFmtId="1" fontId="0" fillId="4" borderId="0" xfId="0" applyNumberFormat="1" applyFill="1"/>
    <xf numFmtId="1" fontId="0" fillId="12" borderId="0" xfId="0" applyNumberFormat="1" applyFill="1"/>
    <xf numFmtId="0" fontId="0" fillId="12" borderId="0" xfId="0" applyFill="1"/>
    <xf numFmtId="0" fontId="4" fillId="0" borderId="0" xfId="0" applyFont="1" applyFill="1" applyBorder="1" applyAlignment="1">
      <alignment horizontal="center"/>
    </xf>
    <xf numFmtId="0" fontId="0" fillId="6" borderId="0" xfId="0" applyFill="1" applyBorder="1"/>
    <xf numFmtId="0" fontId="0" fillId="6" borderId="0" xfId="0" applyFill="1"/>
    <xf numFmtId="0" fontId="0" fillId="16" borderId="0" xfId="0" applyFill="1"/>
    <xf numFmtId="0" fontId="0" fillId="15" borderId="0" xfId="0" applyFill="1"/>
    <xf numFmtId="1" fontId="0" fillId="17" borderId="0" xfId="0" applyNumberFormat="1" applyFill="1"/>
    <xf numFmtId="0" fontId="0" fillId="17" borderId="0" xfId="0" applyFill="1"/>
    <xf numFmtId="0" fontId="0" fillId="14" borderId="0" xfId="0" applyFill="1"/>
    <xf numFmtId="1" fontId="0" fillId="14" borderId="0" xfId="0" applyNumberFormat="1" applyFill="1"/>
    <xf numFmtId="0" fontId="0" fillId="18" borderId="0" xfId="0" applyFill="1" applyBorder="1"/>
    <xf numFmtId="0" fontId="0" fillId="18" borderId="0" xfId="0" applyFill="1"/>
    <xf numFmtId="0" fontId="4" fillId="0" borderId="0" xfId="0" applyFont="1" applyAlignment="1">
      <alignment horizontal="center"/>
    </xf>
    <xf numFmtId="10" fontId="0" fillId="0" borderId="0" xfId="0" applyNumberFormat="1"/>
    <xf numFmtId="1" fontId="0" fillId="0" borderId="12" xfId="0" applyNumberFormat="1" applyBorder="1"/>
    <xf numFmtId="1" fontId="0" fillId="0" borderId="0" xfId="0" applyNumberFormat="1" applyBorder="1" applyAlignment="1">
      <alignment horizontal="center"/>
    </xf>
    <xf numFmtId="1" fontId="0" fillId="6" borderId="1" xfId="0" applyNumberFormat="1" applyFill="1" applyBorder="1"/>
    <xf numFmtId="0" fontId="0" fillId="11" borderId="1" xfId="0" applyFill="1" applyBorder="1" applyAlignment="1">
      <alignment horizontal="left"/>
    </xf>
    <xf numFmtId="0" fontId="0" fillId="0" borderId="13" xfId="0" applyBorder="1"/>
    <xf numFmtId="0" fontId="0" fillId="0" borderId="18" xfId="0" applyBorder="1"/>
    <xf numFmtId="0" fontId="5" fillId="0" borderId="1" xfId="0" applyFont="1" applyBorder="1"/>
    <xf numFmtId="0" fontId="5" fillId="0" borderId="18" xfId="0" applyFont="1" applyBorder="1"/>
    <xf numFmtId="0" fontId="5" fillId="11" borderId="1" xfId="0" applyFont="1" applyFill="1" applyBorder="1"/>
    <xf numFmtId="0" fontId="5" fillId="0" borderId="1" xfId="0" applyFont="1" applyFill="1" applyBorder="1"/>
    <xf numFmtId="0" fontId="5" fillId="13" borderId="1" xfId="0" applyFont="1" applyFill="1" applyBorder="1"/>
    <xf numFmtId="0" fontId="5" fillId="11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17" xfId="0" applyBorder="1"/>
    <xf numFmtId="0" fontId="0" fillId="0" borderId="2" xfId="0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9" borderId="1" xfId="0" applyFill="1" applyBorder="1"/>
    <xf numFmtId="16" fontId="0" fillId="3" borderId="1" xfId="0" applyNumberFormat="1" applyFill="1" applyBorder="1"/>
    <xf numFmtId="0" fontId="3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9" borderId="0" xfId="0" applyFill="1"/>
    <xf numFmtId="14" fontId="0" fillId="0" borderId="0" xfId="0" applyNumberFormat="1" applyFill="1"/>
    <xf numFmtId="9" fontId="0" fillId="0" borderId="0" xfId="0" applyNumberFormat="1" applyFill="1"/>
    <xf numFmtId="1" fontId="0" fillId="19" borderId="1" xfId="0" applyNumberFormat="1" applyFill="1" applyBorder="1"/>
    <xf numFmtId="1" fontId="0" fillId="19" borderId="0" xfId="0" applyNumberFormat="1" applyFill="1" applyBorder="1"/>
    <xf numFmtId="0" fontId="0" fillId="19" borderId="0" xfId="0" applyFill="1" applyBorder="1"/>
    <xf numFmtId="164" fontId="0" fillId="0" borderId="0" xfId="0" applyNumberFormat="1"/>
    <xf numFmtId="10" fontId="0" fillId="12" borderId="0" xfId="0" applyNumberFormat="1" applyFill="1"/>
    <xf numFmtId="1" fontId="0" fillId="2" borderId="0" xfId="0" applyNumberFormat="1" applyFill="1" applyAlignment="1">
      <alignment horizontal="right"/>
    </xf>
    <xf numFmtId="2" fontId="0" fillId="0" borderId="0" xfId="0" applyNumberFormat="1"/>
    <xf numFmtId="0" fontId="0" fillId="0" borderId="0" xfId="0" applyAlignment="1">
      <alignment horizontal="center"/>
    </xf>
    <xf numFmtId="1" fontId="0" fillId="0" borderId="12" xfId="0" applyNumberFormat="1" applyFill="1" applyBorder="1"/>
    <xf numFmtId="1" fontId="0" fillId="0" borderId="0" xfId="0" applyNumberFormat="1" applyAlignment="1">
      <alignment horizontal="center"/>
    </xf>
    <xf numFmtId="1" fontId="0" fillId="6" borderId="0" xfId="0" applyNumberFormat="1" applyFill="1"/>
    <xf numFmtId="1" fontId="0" fillId="15" borderId="0" xfId="0" applyNumberFormat="1" applyFill="1"/>
    <xf numFmtId="1" fontId="0" fillId="16" borderId="0" xfId="0" applyNumberFormat="1" applyFill="1" applyBorder="1"/>
    <xf numFmtId="1" fontId="0" fillId="15" borderId="0" xfId="0" applyNumberFormat="1" applyFill="1" applyBorder="1"/>
    <xf numFmtId="1" fontId="0" fillId="17" borderId="12" xfId="0" applyNumberFormat="1" applyFill="1" applyBorder="1"/>
    <xf numFmtId="1" fontId="0" fillId="18" borderId="0" xfId="0" applyNumberFormat="1" applyFill="1"/>
    <xf numFmtId="1" fontId="0" fillId="18" borderId="0" xfId="0" applyNumberFormat="1" applyFill="1" applyBorder="1"/>
    <xf numFmtId="10" fontId="0" fillId="2" borderId="0" xfId="0" applyNumberFormat="1" applyFill="1"/>
    <xf numFmtId="1" fontId="3" fillId="0" borderId="0" xfId="0" applyNumberFormat="1" applyFont="1"/>
    <xf numFmtId="0" fontId="0" fillId="2" borderId="0" xfId="0" applyFill="1" applyBorder="1" applyAlignment="1">
      <alignment horizontal="left"/>
    </xf>
    <xf numFmtId="0" fontId="0" fillId="0" borderId="0" xfId="0" applyAlignment="1">
      <alignment horizontal="center"/>
    </xf>
    <xf numFmtId="16" fontId="0" fillId="2" borderId="1" xfId="0" applyNumberFormat="1" applyFill="1" applyBorder="1"/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/>
    </xf>
    <xf numFmtId="1" fontId="0" fillId="11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13" borderId="0" xfId="0" applyFill="1" applyBorder="1"/>
    <xf numFmtId="0" fontId="0" fillId="13" borderId="0" xfId="0" applyFill="1"/>
    <xf numFmtId="165" fontId="0" fillId="0" borderId="0" xfId="0" applyNumberFormat="1" applyBorder="1"/>
    <xf numFmtId="2" fontId="0" fillId="2" borderId="0" xfId="0" applyNumberFormat="1" applyFill="1"/>
    <xf numFmtId="164" fontId="0" fillId="2" borderId="0" xfId="0" applyNumberFormat="1" applyFill="1"/>
    <xf numFmtId="0" fontId="0" fillId="20" borderId="1" xfId="0" applyFill="1" applyBorder="1"/>
    <xf numFmtId="0" fontId="0" fillId="0" borderId="0" xfId="0" applyAlignment="1">
      <alignment horizontal="center"/>
    </xf>
    <xf numFmtId="44" fontId="0" fillId="0" borderId="0" xfId="1" applyFont="1"/>
    <xf numFmtId="0" fontId="0" fillId="0" borderId="0" xfId="0" applyBorder="1" applyAlignment="1">
      <alignment horizontal="center"/>
    </xf>
    <xf numFmtId="9" fontId="0" fillId="2" borderId="0" xfId="0" applyNumberFormat="1" applyFill="1"/>
    <xf numFmtId="0" fontId="0" fillId="0" borderId="1" xfId="0" applyBorder="1" applyAlignment="1">
      <alignment horizontal="left"/>
    </xf>
    <xf numFmtId="0" fontId="0" fillId="10" borderId="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5" borderId="12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9" borderId="1" xfId="0" applyFill="1" applyBorder="1" applyAlignment="1">
      <alignment horizontal="left"/>
    </xf>
    <xf numFmtId="0" fontId="0" fillId="9" borderId="19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0" xfId="0" applyFill="1" applyAlignment="1">
      <alignment horizontal="left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8" xfId="0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14" fontId="0" fillId="0" borderId="0" xfId="0" applyNumberFormat="1" applyBorder="1"/>
    <xf numFmtId="0" fontId="1" fillId="0" borderId="0" xfId="0" applyFont="1" applyBorder="1"/>
    <xf numFmtId="0" fontId="0" fillId="0" borderId="0" xfId="0" applyBorder="1" applyAlignment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1"/>
  <sheetViews>
    <sheetView topLeftCell="D1" workbookViewId="0">
      <selection activeCell="L89" sqref="L89"/>
    </sheetView>
  </sheetViews>
  <sheetFormatPr baseColWidth="10" defaultRowHeight="15" x14ac:dyDescent="0.25"/>
  <cols>
    <col min="1" max="1" width="5.85546875" customWidth="1"/>
    <col min="2" max="2" width="6.28515625" customWidth="1"/>
    <col min="3" max="3" width="7.28515625" customWidth="1"/>
    <col min="4" max="4" width="39.28515625" customWidth="1"/>
    <col min="5" max="5" width="13.42578125" customWidth="1"/>
    <col min="7" max="7" width="15" customWidth="1"/>
    <col min="10" max="10" width="15.5703125" customWidth="1"/>
    <col min="11" max="11" width="10.85546875" customWidth="1"/>
    <col min="12" max="12" width="12.42578125" customWidth="1"/>
  </cols>
  <sheetData>
    <row r="1" spans="3:12" ht="15.75" thickBot="1" x14ac:dyDescent="0.3"/>
    <row r="2" spans="3:12" ht="15.75" thickBot="1" x14ac:dyDescent="0.3">
      <c r="C2" t="s">
        <v>72</v>
      </c>
      <c r="E2" s="187" t="s">
        <v>128</v>
      </c>
      <c r="F2" s="188"/>
      <c r="G2" s="188"/>
      <c r="H2" s="189"/>
      <c r="I2" t="s">
        <v>416</v>
      </c>
    </row>
    <row r="3" spans="3:12" x14ac:dyDescent="0.25">
      <c r="C3" s="39" t="s">
        <v>52</v>
      </c>
      <c r="D3" s="190" t="s">
        <v>123</v>
      </c>
      <c r="E3" s="190"/>
      <c r="F3" s="190"/>
      <c r="G3" s="190"/>
      <c r="H3" s="190"/>
      <c r="I3" s="190"/>
      <c r="J3" s="190"/>
      <c r="K3" s="190"/>
    </row>
    <row r="4" spans="3:12" x14ac:dyDescent="0.25">
      <c r="D4" s="191" t="s">
        <v>36</v>
      </c>
      <c r="E4" s="191"/>
      <c r="F4" s="191"/>
    </row>
    <row r="5" spans="3:12" x14ac:dyDescent="0.25">
      <c r="G5" s="191" t="s">
        <v>41</v>
      </c>
      <c r="H5" s="191"/>
      <c r="I5" s="191"/>
      <c r="J5" s="191"/>
    </row>
    <row r="6" spans="3:12" x14ac:dyDescent="0.25">
      <c r="D6" s="1" t="s">
        <v>129</v>
      </c>
    </row>
    <row r="7" spans="3:12" x14ac:dyDescent="0.25">
      <c r="C7" s="1">
        <v>240</v>
      </c>
      <c r="D7" s="1" t="s">
        <v>37</v>
      </c>
      <c r="E7" s="1">
        <v>34800</v>
      </c>
      <c r="F7" s="1">
        <f>(C7*E7)</f>
        <v>8352000</v>
      </c>
    </row>
    <row r="8" spans="3:12" x14ac:dyDescent="0.25">
      <c r="C8" s="1"/>
      <c r="D8" s="13" t="s">
        <v>39</v>
      </c>
      <c r="E8" s="1"/>
      <c r="F8" s="1"/>
      <c r="H8" t="s">
        <v>40</v>
      </c>
    </row>
    <row r="9" spans="3:12" x14ac:dyDescent="0.25">
      <c r="C9" s="1"/>
      <c r="D9" s="1" t="s">
        <v>38</v>
      </c>
      <c r="E9" s="1"/>
      <c r="F9" s="1">
        <f>SUM(F7:F7)</f>
        <v>8352000</v>
      </c>
      <c r="G9" t="s">
        <v>2</v>
      </c>
      <c r="H9" s="3">
        <v>43801</v>
      </c>
      <c r="I9" s="3"/>
    </row>
    <row r="10" spans="3:12" x14ac:dyDescent="0.25">
      <c r="C10" s="1"/>
      <c r="D10" s="1" t="s">
        <v>1</v>
      </c>
      <c r="E10" s="1"/>
      <c r="F10" s="6">
        <f>(F9*19%)</f>
        <v>1586880</v>
      </c>
      <c r="G10" s="2">
        <v>0.6</v>
      </c>
      <c r="H10" s="2">
        <v>0.4</v>
      </c>
      <c r="I10" s="2"/>
    </row>
    <row r="11" spans="3:12" x14ac:dyDescent="0.25">
      <c r="C11" s="1"/>
      <c r="D11" s="1" t="s">
        <v>0</v>
      </c>
      <c r="E11" s="1"/>
      <c r="F11" s="6">
        <f>(F9+F10)</f>
        <v>9938880</v>
      </c>
      <c r="G11" s="41">
        <f>(F11*G10)</f>
        <v>5963328</v>
      </c>
      <c r="H11" s="41">
        <f>(F11*H10)</f>
        <v>3975552</v>
      </c>
      <c r="I11" s="4">
        <f>(F11-G11-H11)</f>
        <v>0</v>
      </c>
      <c r="J11" s="67"/>
    </row>
    <row r="12" spans="3:12" x14ac:dyDescent="0.25">
      <c r="G12" s="42"/>
      <c r="H12" s="42"/>
    </row>
    <row r="13" spans="3:12" x14ac:dyDescent="0.25">
      <c r="E13" s="2"/>
      <c r="F13" s="4"/>
      <c r="H13" s="9"/>
      <c r="I13" s="9"/>
      <c r="J13" s="9"/>
      <c r="K13" s="9"/>
    </row>
    <row r="14" spans="3:12" x14ac:dyDescent="0.25">
      <c r="D14" s="1" t="s">
        <v>130</v>
      </c>
      <c r="H14" s="12"/>
      <c r="I14" s="9"/>
      <c r="J14" s="10"/>
      <c r="K14" s="9"/>
    </row>
    <row r="15" spans="3:12" x14ac:dyDescent="0.25">
      <c r="C15" s="1">
        <v>1</v>
      </c>
      <c r="D15" s="1" t="s">
        <v>124</v>
      </c>
      <c r="E15" s="1">
        <v>8100000</v>
      </c>
      <c r="F15" s="1">
        <f>(C15*E15)</f>
        <v>8100000</v>
      </c>
      <c r="H15" s="12"/>
      <c r="I15" s="9"/>
      <c r="J15" s="10"/>
      <c r="K15" s="9"/>
      <c r="L15" s="9"/>
    </row>
    <row r="16" spans="3:12" x14ac:dyDescent="0.25">
      <c r="C16" s="1"/>
      <c r="D16" s="1"/>
      <c r="E16" s="1"/>
      <c r="F16" s="1">
        <f>(C16*E16)</f>
        <v>0</v>
      </c>
      <c r="H16" s="9"/>
      <c r="I16" s="9"/>
      <c r="J16" s="10"/>
      <c r="K16" s="9"/>
      <c r="L16" s="9"/>
    </row>
    <row r="17" spans="3:14" x14ac:dyDescent="0.25">
      <c r="C17" s="1"/>
      <c r="D17" s="13" t="s">
        <v>131</v>
      </c>
      <c r="E17" s="1"/>
      <c r="F17" s="1"/>
      <c r="G17" t="s">
        <v>3</v>
      </c>
      <c r="H17" t="s">
        <v>40</v>
      </c>
      <c r="I17" t="s">
        <v>4</v>
      </c>
      <c r="J17" t="s">
        <v>133</v>
      </c>
      <c r="K17" s="10"/>
      <c r="L17" s="9"/>
    </row>
    <row r="18" spans="3:14" x14ac:dyDescent="0.25">
      <c r="C18" s="1"/>
      <c r="D18" s="1" t="s">
        <v>0</v>
      </c>
      <c r="E18" s="1"/>
      <c r="F18" s="1">
        <f>SUM(F15:F17)</f>
        <v>8100000</v>
      </c>
      <c r="G18" t="s">
        <v>132</v>
      </c>
      <c r="H18" s="3">
        <v>43829</v>
      </c>
      <c r="I18" s="3">
        <v>43860</v>
      </c>
      <c r="J18" s="3">
        <v>43892</v>
      </c>
      <c r="K18" s="9"/>
      <c r="L18" s="9"/>
    </row>
    <row r="19" spans="3:14" x14ac:dyDescent="0.25">
      <c r="C19" s="1"/>
      <c r="D19" s="1" t="s">
        <v>1</v>
      </c>
      <c r="E19" s="1"/>
      <c r="F19" s="6">
        <f>(F18*19%)</f>
        <v>1539000</v>
      </c>
      <c r="G19" s="2">
        <v>0.15</v>
      </c>
      <c r="H19" s="2">
        <v>0.35</v>
      </c>
      <c r="I19" s="2">
        <v>0.25</v>
      </c>
      <c r="J19" s="2">
        <v>0.25</v>
      </c>
      <c r="K19" s="10"/>
      <c r="L19" s="9"/>
    </row>
    <row r="20" spans="3:14" x14ac:dyDescent="0.25">
      <c r="C20" s="1"/>
      <c r="D20" s="1" t="s">
        <v>0</v>
      </c>
      <c r="E20" s="1"/>
      <c r="F20" s="6">
        <f>(F18+F19)</f>
        <v>9639000</v>
      </c>
      <c r="G20" s="4">
        <f>(F20*G19)</f>
        <v>1445850</v>
      </c>
      <c r="H20" s="4">
        <f>(F20*H19)</f>
        <v>3373650</v>
      </c>
      <c r="I20" s="4">
        <f>(I19*F20)</f>
        <v>2409750</v>
      </c>
      <c r="J20" s="4">
        <f>(F20*J19)</f>
        <v>2409750</v>
      </c>
      <c r="K20" s="10">
        <f>(F20-G20-H20-I20-J20)</f>
        <v>0</v>
      </c>
      <c r="L20" s="9"/>
    </row>
    <row r="21" spans="3:14" x14ac:dyDescent="0.25">
      <c r="C21" s="9"/>
      <c r="D21" s="9"/>
      <c r="E21" s="9"/>
      <c r="F21" s="10"/>
      <c r="G21" s="4"/>
      <c r="H21" s="4"/>
      <c r="I21" s="4"/>
      <c r="J21" s="67"/>
      <c r="K21" s="10"/>
      <c r="L21" s="9"/>
    </row>
    <row r="22" spans="3:14" x14ac:dyDescent="0.25">
      <c r="C22" s="9"/>
      <c r="D22" s="9"/>
      <c r="E22" s="9"/>
      <c r="F22" s="10"/>
      <c r="G22" s="4"/>
      <c r="H22" s="4"/>
      <c r="I22" s="4"/>
      <c r="J22" s="192" t="s">
        <v>41</v>
      </c>
      <c r="K22" s="192"/>
      <c r="L22" s="192"/>
    </row>
    <row r="23" spans="3:14" x14ac:dyDescent="0.25">
      <c r="C23" s="9"/>
      <c r="D23" s="68" t="s">
        <v>134</v>
      </c>
      <c r="E23" s="128" t="s">
        <v>44</v>
      </c>
      <c r="F23" s="128" t="s">
        <v>42</v>
      </c>
      <c r="G23" s="128" t="s">
        <v>43</v>
      </c>
      <c r="H23" s="69" t="s">
        <v>0</v>
      </c>
      <c r="I23" s="122"/>
      <c r="J23" s="69" t="s">
        <v>2</v>
      </c>
      <c r="K23" s="69" t="s">
        <v>40</v>
      </c>
      <c r="L23" s="69" t="s">
        <v>4</v>
      </c>
      <c r="M23" s="126" t="s">
        <v>133</v>
      </c>
    </row>
    <row r="24" spans="3:14" x14ac:dyDescent="0.25">
      <c r="C24" s="31">
        <v>44137</v>
      </c>
      <c r="D24" s="29" t="s">
        <v>135</v>
      </c>
      <c r="E24" s="29" t="s">
        <v>6</v>
      </c>
      <c r="F24" s="30">
        <f>(F9)</f>
        <v>8352000</v>
      </c>
      <c r="G24" s="6">
        <f>(F24*19%)</f>
        <v>1586880</v>
      </c>
      <c r="H24" s="6">
        <f>(F24+G24)</f>
        <v>9938880</v>
      </c>
      <c r="I24" s="21" t="s">
        <v>94</v>
      </c>
      <c r="J24" s="34">
        <f>(G11)</f>
        <v>5963328</v>
      </c>
      <c r="K24" s="35">
        <f>(H11)</f>
        <v>3975552</v>
      </c>
      <c r="L24" s="35">
        <f>(I11)</f>
        <v>0</v>
      </c>
      <c r="M24" s="6"/>
    </row>
    <row r="25" spans="3:14" x14ac:dyDescent="0.25">
      <c r="C25" s="31">
        <v>44165</v>
      </c>
      <c r="D25" s="29" t="s">
        <v>136</v>
      </c>
      <c r="E25" s="29" t="s">
        <v>13</v>
      </c>
      <c r="F25" s="32">
        <f>(F18)</f>
        <v>8100000</v>
      </c>
      <c r="G25" s="6">
        <f>(F25*19%)</f>
        <v>1539000</v>
      </c>
      <c r="H25" s="6">
        <f>(F25+G25)</f>
        <v>9639000</v>
      </c>
      <c r="I25" s="21" t="s">
        <v>93</v>
      </c>
      <c r="J25" s="6">
        <f>(G20)</f>
        <v>1445850</v>
      </c>
      <c r="K25" s="36">
        <f>(H20)</f>
        <v>3373650</v>
      </c>
      <c r="L25" s="36">
        <f>(I20)</f>
        <v>2409750</v>
      </c>
      <c r="M25" s="36">
        <f>(J20)</f>
        <v>2409750</v>
      </c>
      <c r="N25" s="4">
        <f>(K25+L25+M25)</f>
        <v>8193150</v>
      </c>
    </row>
    <row r="26" spans="3:14" x14ac:dyDescent="0.25">
      <c r="C26" s="1"/>
      <c r="D26" s="1" t="s">
        <v>50</v>
      </c>
      <c r="E26" s="1"/>
      <c r="F26" s="6">
        <f>SUM(F24:F25)</f>
        <v>16452000</v>
      </c>
      <c r="G26" s="33">
        <f>SUM(G24:G25)</f>
        <v>3125880</v>
      </c>
      <c r="H26" s="6">
        <f>SUM(H24:H25)</f>
        <v>19577880</v>
      </c>
      <c r="I26" s="15"/>
      <c r="J26" s="38">
        <f>SUM(J24:J25)</f>
        <v>7409178</v>
      </c>
      <c r="K26" s="6">
        <f>SUM(K24:K25)</f>
        <v>7349202</v>
      </c>
      <c r="L26" s="6">
        <f>SUM(L24:L25)</f>
        <v>2409750</v>
      </c>
      <c r="M26" s="6">
        <f>SUM(M24:M25)</f>
        <v>2409750</v>
      </c>
    </row>
    <row r="27" spans="3:14" x14ac:dyDescent="0.25">
      <c r="C27" s="9"/>
      <c r="D27" s="9"/>
      <c r="E27" s="9"/>
      <c r="F27" s="10"/>
      <c r="G27" s="24"/>
      <c r="H27" s="10"/>
      <c r="I27" s="10"/>
      <c r="J27" s="24"/>
      <c r="K27" s="10"/>
      <c r="L27" s="10"/>
    </row>
    <row r="28" spans="3:14" x14ac:dyDescent="0.25">
      <c r="C28" s="9"/>
      <c r="D28" s="9"/>
      <c r="E28" s="9"/>
      <c r="F28" s="10"/>
      <c r="G28" s="24"/>
      <c r="H28" s="10"/>
      <c r="I28" s="10"/>
      <c r="J28" s="24"/>
      <c r="K28" s="10"/>
      <c r="L28" s="10"/>
    </row>
    <row r="29" spans="3:14" x14ac:dyDescent="0.25">
      <c r="C29" s="25" t="s">
        <v>57</v>
      </c>
      <c r="D29" s="193" t="s">
        <v>58</v>
      </c>
      <c r="E29" s="193"/>
      <c r="F29" s="193"/>
      <c r="G29" s="193"/>
      <c r="H29" s="193"/>
      <c r="I29" s="193"/>
      <c r="J29" s="193"/>
      <c r="K29" s="193"/>
      <c r="L29" s="193"/>
    </row>
    <row r="30" spans="3:14" x14ac:dyDescent="0.25">
      <c r="C30" s="9"/>
      <c r="D30" s="8" t="s">
        <v>125</v>
      </c>
      <c r="E30" s="9"/>
      <c r="F30" s="9"/>
      <c r="G30" s="9"/>
      <c r="H30" s="9"/>
      <c r="I30" s="9"/>
      <c r="J30" s="9"/>
      <c r="K30" s="9"/>
      <c r="L30" s="9"/>
    </row>
    <row r="31" spans="3:14" x14ac:dyDescent="0.25">
      <c r="C31" s="9"/>
      <c r="D31" s="8" t="s">
        <v>6</v>
      </c>
      <c r="E31" s="18">
        <f>(F24)</f>
        <v>8352000</v>
      </c>
      <c r="F31" s="9"/>
      <c r="G31" s="9"/>
      <c r="H31" s="183"/>
      <c r="I31" s="183"/>
      <c r="J31" s="10"/>
      <c r="K31" s="9"/>
      <c r="L31" s="9"/>
    </row>
    <row r="32" spans="3:14" x14ac:dyDescent="0.25">
      <c r="C32" s="9"/>
      <c r="D32" s="8" t="s">
        <v>13</v>
      </c>
      <c r="E32" s="17">
        <f>(F25)</f>
        <v>8100000</v>
      </c>
      <c r="F32" s="9"/>
      <c r="G32" s="9"/>
      <c r="H32" s="194"/>
      <c r="I32" s="194"/>
      <c r="J32" s="9"/>
      <c r="K32" s="9"/>
      <c r="L32" s="9"/>
    </row>
    <row r="33" spans="3:15" x14ac:dyDescent="0.25">
      <c r="C33" s="9"/>
      <c r="D33" s="125" t="s">
        <v>10</v>
      </c>
      <c r="E33" s="20">
        <f>(G26)</f>
        <v>3125880</v>
      </c>
      <c r="F33" s="10"/>
      <c r="G33" s="9"/>
      <c r="H33" s="9"/>
      <c r="I33" s="9"/>
      <c r="J33" s="10"/>
      <c r="K33" s="10"/>
      <c r="L33" s="9"/>
    </row>
    <row r="34" spans="3:15" x14ac:dyDescent="0.25">
      <c r="C34" s="9"/>
      <c r="D34" s="11" t="s">
        <v>2</v>
      </c>
      <c r="E34" s="10"/>
      <c r="F34" s="14">
        <f>(J26)</f>
        <v>7409178</v>
      </c>
      <c r="G34" s="9"/>
      <c r="H34" s="25" t="s">
        <v>47</v>
      </c>
      <c r="I34" s="25"/>
      <c r="J34" s="25"/>
      <c r="K34" s="25"/>
      <c r="L34" s="9"/>
    </row>
    <row r="35" spans="3:15" x14ac:dyDescent="0.25">
      <c r="C35" s="9"/>
      <c r="D35" s="123" t="s">
        <v>8</v>
      </c>
      <c r="E35" s="10"/>
      <c r="F35" s="16">
        <f>(K24)</f>
        <v>3975552</v>
      </c>
      <c r="G35" s="10"/>
      <c r="H35" s="26" t="s">
        <v>48</v>
      </c>
      <c r="I35" s="26"/>
      <c r="J35" s="26"/>
      <c r="K35" s="26"/>
      <c r="L35" s="26"/>
    </row>
    <row r="36" spans="3:15" x14ac:dyDescent="0.25">
      <c r="C36" s="9"/>
      <c r="D36" s="123" t="s">
        <v>9</v>
      </c>
      <c r="E36" s="9"/>
      <c r="F36" s="22">
        <f>(K25+L25+M25)</f>
        <v>8193150</v>
      </c>
      <c r="G36" s="10">
        <f>(E31+E32+E33-F34-F35-F36)</f>
        <v>0</v>
      </c>
      <c r="H36" s="23" t="s">
        <v>49</v>
      </c>
      <c r="I36" s="23"/>
      <c r="J36" s="23"/>
      <c r="K36" s="23"/>
      <c r="L36" s="23"/>
    </row>
    <row r="37" spans="3:15" x14ac:dyDescent="0.25">
      <c r="C37" s="9"/>
      <c r="D37" s="9"/>
      <c r="E37" s="10">
        <f>SUM(E31:E36)</f>
        <v>19577880</v>
      </c>
      <c r="F37" s="10">
        <f>SUM(F31:F36)</f>
        <v>19577880</v>
      </c>
      <c r="G37" s="9"/>
      <c r="H37" s="9"/>
      <c r="I37" s="179"/>
      <c r="J37" s="179"/>
      <c r="K37" s="9"/>
      <c r="L37" s="9"/>
    </row>
    <row r="38" spans="3:15" x14ac:dyDescent="0.25"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3:15" x14ac:dyDescent="0.25">
      <c r="C39" s="9" t="s">
        <v>51</v>
      </c>
      <c r="D39" s="195" t="s">
        <v>55</v>
      </c>
      <c r="E39" s="195"/>
      <c r="F39" s="195"/>
      <c r="G39" s="195"/>
      <c r="H39" s="195"/>
      <c r="I39" s="195"/>
      <c r="J39" s="195"/>
      <c r="K39" s="195"/>
      <c r="L39" s="195"/>
    </row>
    <row r="40" spans="3:15" x14ac:dyDescent="0.25">
      <c r="C40" s="9" t="s">
        <v>53</v>
      </c>
      <c r="D40" s="195" t="s">
        <v>56</v>
      </c>
      <c r="E40" s="195"/>
      <c r="F40" s="195"/>
      <c r="G40" s="195"/>
      <c r="H40" s="195"/>
      <c r="I40" s="195"/>
      <c r="J40" s="195"/>
      <c r="K40" s="195"/>
      <c r="L40" s="195"/>
    </row>
    <row r="41" spans="3:15" x14ac:dyDescent="0.25">
      <c r="C41" s="9" t="s">
        <v>59</v>
      </c>
      <c r="D41" s="40" t="s">
        <v>60</v>
      </c>
      <c r="E41" s="40"/>
      <c r="F41" s="40"/>
      <c r="G41" s="40"/>
      <c r="H41" s="40"/>
      <c r="I41" s="40"/>
      <c r="J41" s="40"/>
      <c r="K41" s="40"/>
      <c r="L41" s="40"/>
      <c r="M41" s="40"/>
    </row>
    <row r="42" spans="3:15" x14ac:dyDescent="0.25">
      <c r="C42" s="9"/>
      <c r="D42" s="183" t="s">
        <v>61</v>
      </c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</row>
    <row r="43" spans="3:15" x14ac:dyDescent="0.25">
      <c r="C43" s="9"/>
      <c r="D43" s="9"/>
      <c r="E43" s="9"/>
      <c r="F43" s="10"/>
      <c r="G43" s="10"/>
      <c r="H43" s="9"/>
      <c r="I43" s="9"/>
      <c r="J43" s="9"/>
      <c r="K43" s="10"/>
      <c r="L43" s="9"/>
    </row>
    <row r="44" spans="3:15" x14ac:dyDescent="0.25">
      <c r="C44" s="9"/>
      <c r="D44" s="9"/>
      <c r="E44" s="12"/>
      <c r="F44" s="10"/>
      <c r="G44" s="9"/>
      <c r="H44" s="9"/>
      <c r="I44" s="9"/>
      <c r="J44" s="9"/>
      <c r="K44" s="9"/>
      <c r="L44" s="9"/>
    </row>
    <row r="45" spans="3:15" x14ac:dyDescent="0.25">
      <c r="C45" s="9" t="s">
        <v>71</v>
      </c>
      <c r="D45" s="9" t="s">
        <v>62</v>
      </c>
      <c r="E45" s="12"/>
      <c r="F45" s="10"/>
      <c r="G45" s="10"/>
      <c r="H45" s="12"/>
      <c r="I45" s="9"/>
      <c r="J45" s="10" t="s">
        <v>285</v>
      </c>
      <c r="K45" s="9"/>
      <c r="L45" s="9" t="s">
        <v>286</v>
      </c>
    </row>
    <row r="46" spans="3:15" x14ac:dyDescent="0.25">
      <c r="C46" s="9"/>
      <c r="D46" s="9"/>
      <c r="E46" s="9"/>
      <c r="F46" s="9"/>
      <c r="G46" s="9"/>
      <c r="H46" s="12"/>
      <c r="I46" s="9"/>
      <c r="J46" s="10"/>
      <c r="K46" s="9"/>
      <c r="L46" s="9" t="s">
        <v>287</v>
      </c>
    </row>
    <row r="47" spans="3:15" x14ac:dyDescent="0.25">
      <c r="D47" s="1" t="s">
        <v>137</v>
      </c>
      <c r="H47" s="12"/>
      <c r="I47" s="179"/>
      <c r="J47" s="179"/>
      <c r="K47" s="9"/>
      <c r="L47" s="9"/>
    </row>
    <row r="48" spans="3:15" x14ac:dyDescent="0.25">
      <c r="C48" s="1">
        <v>155</v>
      </c>
      <c r="D48" s="1" t="s">
        <v>37</v>
      </c>
      <c r="E48" s="1">
        <v>88450</v>
      </c>
      <c r="F48" s="1">
        <f>(C48*E48)</f>
        <v>13709750</v>
      </c>
      <c r="G48">
        <v>1</v>
      </c>
      <c r="H48" s="12"/>
      <c r="I48" s="9"/>
      <c r="J48" s="12"/>
      <c r="K48" s="10"/>
      <c r="L48" s="9"/>
    </row>
    <row r="49" spans="3:13" x14ac:dyDescent="0.25">
      <c r="C49" s="1"/>
      <c r="D49" s="1"/>
      <c r="E49" s="1"/>
      <c r="F49" s="1"/>
      <c r="H49" s="9">
        <v>2</v>
      </c>
      <c r="I49" s="9"/>
      <c r="J49" s="9"/>
      <c r="K49" s="9"/>
      <c r="L49" s="9"/>
    </row>
    <row r="50" spans="3:13" x14ac:dyDescent="0.25">
      <c r="C50" s="1"/>
      <c r="D50" s="13" t="s">
        <v>5</v>
      </c>
      <c r="E50" s="1"/>
      <c r="F50" s="1"/>
      <c r="G50" t="s">
        <v>3</v>
      </c>
      <c r="H50" s="9" t="s">
        <v>40</v>
      </c>
      <c r="I50" s="9"/>
      <c r="J50" s="9"/>
      <c r="K50" s="10"/>
      <c r="L50" s="9"/>
    </row>
    <row r="51" spans="3:13" x14ac:dyDescent="0.25">
      <c r="C51" s="1"/>
      <c r="D51" s="1" t="s">
        <v>0</v>
      </c>
      <c r="E51" s="1"/>
      <c r="F51" s="45">
        <f>SUM(F48:F50)</f>
        <v>13709750</v>
      </c>
      <c r="G51" t="s">
        <v>2</v>
      </c>
      <c r="H51" s="3">
        <v>43802</v>
      </c>
      <c r="I51" s="9"/>
      <c r="J51" s="9"/>
      <c r="K51" s="10"/>
      <c r="L51" s="9"/>
    </row>
    <row r="52" spans="3:13" x14ac:dyDescent="0.25">
      <c r="C52" s="1"/>
      <c r="D52" s="1" t="s">
        <v>1</v>
      </c>
      <c r="E52" s="1"/>
      <c r="F52" s="6">
        <f>(F51*19%)</f>
        <v>2604852.5</v>
      </c>
      <c r="G52" s="2">
        <v>0.4</v>
      </c>
      <c r="H52" s="2">
        <v>0.6</v>
      </c>
      <c r="I52" s="9"/>
      <c r="J52" s="9"/>
      <c r="K52" s="10"/>
      <c r="L52" s="9"/>
    </row>
    <row r="53" spans="3:13" x14ac:dyDescent="0.25">
      <c r="C53" s="1"/>
      <c r="D53" s="1" t="s">
        <v>0</v>
      </c>
      <c r="E53" s="1"/>
      <c r="F53" s="6">
        <f>(F51+F52)</f>
        <v>16314602.5</v>
      </c>
      <c r="G53" s="4">
        <f>(F53*G52)</f>
        <v>6525841</v>
      </c>
      <c r="H53" s="4">
        <f>(F53*H52)</f>
        <v>9788761.5</v>
      </c>
      <c r="I53" s="10">
        <f>(G53+H53-F53)</f>
        <v>0</v>
      </c>
      <c r="J53" s="9"/>
      <c r="K53" s="9"/>
      <c r="L53" s="9"/>
    </row>
    <row r="54" spans="3:13" x14ac:dyDescent="0.25">
      <c r="C54" s="9"/>
      <c r="D54" s="9"/>
      <c r="E54" s="10"/>
      <c r="F54" s="9"/>
      <c r="G54" s="9"/>
      <c r="H54" s="183"/>
      <c r="I54" s="183"/>
      <c r="J54" s="9"/>
      <c r="K54" s="9"/>
      <c r="L54" s="9"/>
    </row>
    <row r="55" spans="3:13" x14ac:dyDescent="0.25">
      <c r="C55" s="9"/>
      <c r="D55" s="9"/>
      <c r="E55" s="9">
        <v>3</v>
      </c>
      <c r="F55" s="9"/>
      <c r="G55" s="9"/>
      <c r="H55" s="183"/>
      <c r="I55" s="183"/>
      <c r="J55" s="9"/>
      <c r="K55" s="9">
        <v>2</v>
      </c>
      <c r="L55" s="9"/>
    </row>
    <row r="56" spans="3:13" x14ac:dyDescent="0.25">
      <c r="C56" s="9"/>
      <c r="D56" s="196" t="s">
        <v>63</v>
      </c>
      <c r="E56" s="196"/>
      <c r="F56" s="196"/>
      <c r="G56" s="196"/>
      <c r="H56" s="9"/>
      <c r="I56" s="9"/>
      <c r="J56" s="191" t="s">
        <v>54</v>
      </c>
      <c r="K56" s="191"/>
      <c r="L56" s="191"/>
    </row>
    <row r="57" spans="3:13" x14ac:dyDescent="0.25">
      <c r="C57" s="1"/>
      <c r="D57" s="1" t="s">
        <v>297</v>
      </c>
      <c r="E57" s="126" t="s">
        <v>44</v>
      </c>
      <c r="F57" s="126" t="s">
        <v>42</v>
      </c>
      <c r="G57" s="126" t="s">
        <v>43</v>
      </c>
      <c r="H57" s="27" t="s">
        <v>0</v>
      </c>
      <c r="I57" s="9"/>
      <c r="J57" s="7" t="s">
        <v>45</v>
      </c>
      <c r="K57" s="6" t="s">
        <v>40</v>
      </c>
      <c r="L57" s="1" t="s">
        <v>4</v>
      </c>
    </row>
    <row r="58" spans="3:13" x14ac:dyDescent="0.25">
      <c r="C58" s="28" t="s">
        <v>64</v>
      </c>
      <c r="D58" s="1" t="s">
        <v>423</v>
      </c>
      <c r="E58" s="1" t="s">
        <v>5</v>
      </c>
      <c r="F58" s="29">
        <f>(F51)</f>
        <v>13709750</v>
      </c>
      <c r="G58" s="47">
        <f>(F52)</f>
        <v>2604852.5</v>
      </c>
      <c r="H58" s="6">
        <f>(F53)</f>
        <v>16314602.5</v>
      </c>
      <c r="I58" s="9"/>
      <c r="J58" s="33">
        <f>(G53)</f>
        <v>6525841</v>
      </c>
      <c r="K58" s="43">
        <f>(H53)</f>
        <v>9788761.5</v>
      </c>
      <c r="L58" s="1">
        <v>0</v>
      </c>
      <c r="M58" s="4">
        <f>(J58+K58-H58)</f>
        <v>0</v>
      </c>
    </row>
    <row r="59" spans="3:13" x14ac:dyDescent="0.25">
      <c r="C59" s="9"/>
      <c r="D59" s="9"/>
      <c r="E59" s="10"/>
      <c r="F59" s="10"/>
      <c r="G59" s="10"/>
      <c r="H59" s="179"/>
      <c r="I59" s="179"/>
      <c r="J59" s="9"/>
      <c r="K59" s="9"/>
      <c r="L59" s="9"/>
    </row>
    <row r="60" spans="3:13" x14ac:dyDescent="0.25">
      <c r="C60" s="9"/>
      <c r="D60" s="9" t="s">
        <v>66</v>
      </c>
      <c r="E60" s="9"/>
      <c r="F60" s="9"/>
      <c r="G60" s="9"/>
      <c r="H60" s="9"/>
      <c r="I60" s="9"/>
      <c r="J60" s="9"/>
      <c r="K60" s="9"/>
      <c r="L60" s="9"/>
    </row>
    <row r="61" spans="3:13" x14ac:dyDescent="0.25">
      <c r="C61" s="9"/>
      <c r="D61" s="9" t="s">
        <v>2</v>
      </c>
      <c r="E61" s="20">
        <f>(J58)</f>
        <v>6525841</v>
      </c>
      <c r="F61" s="9"/>
      <c r="G61" s="9"/>
      <c r="H61" s="9" t="s">
        <v>67</v>
      </c>
      <c r="I61" s="9"/>
      <c r="J61" s="9"/>
      <c r="K61" s="9"/>
      <c r="L61" s="9"/>
    </row>
    <row r="62" spans="3:13" x14ac:dyDescent="0.25">
      <c r="C62" s="9"/>
      <c r="D62" s="8" t="s">
        <v>11</v>
      </c>
      <c r="E62" s="19">
        <f>(K58)</f>
        <v>9788761.5</v>
      </c>
      <c r="F62" s="9"/>
      <c r="G62" s="9"/>
      <c r="H62" s="9" t="s">
        <v>68</v>
      </c>
      <c r="I62" s="9"/>
      <c r="J62" s="9"/>
      <c r="K62" s="9"/>
      <c r="L62" s="9"/>
    </row>
    <row r="63" spans="3:13" x14ac:dyDescent="0.25">
      <c r="C63" s="9"/>
      <c r="D63" s="11" t="s">
        <v>5</v>
      </c>
      <c r="E63" s="9"/>
      <c r="F63" s="46">
        <f>(F51)</f>
        <v>13709750</v>
      </c>
      <c r="G63" s="9"/>
      <c r="H63" s="9" t="s">
        <v>69</v>
      </c>
      <c r="I63" s="9"/>
      <c r="J63" s="9"/>
      <c r="K63" s="9"/>
      <c r="L63" s="9"/>
    </row>
    <row r="64" spans="3:13" x14ac:dyDescent="0.25">
      <c r="C64" s="9"/>
      <c r="D64" s="123" t="s">
        <v>12</v>
      </c>
      <c r="E64" s="9"/>
      <c r="F64" s="15">
        <f>(G58)</f>
        <v>2604852.5</v>
      </c>
      <c r="G64" s="9"/>
      <c r="H64" s="8" t="s">
        <v>70</v>
      </c>
      <c r="I64" s="9"/>
      <c r="J64" s="9"/>
      <c r="K64" s="9"/>
      <c r="L64" s="9"/>
    </row>
    <row r="65" spans="3:18" x14ac:dyDescent="0.25">
      <c r="C65" s="9"/>
      <c r="D65" s="9"/>
      <c r="E65" s="10">
        <f>SUM(E61:E64)</f>
        <v>16314602.5</v>
      </c>
      <c r="F65" s="10">
        <f>SUM(F61:F64)</f>
        <v>16314602.5</v>
      </c>
      <c r="G65" s="9"/>
      <c r="H65" s="9"/>
      <c r="I65" s="9"/>
      <c r="J65" s="9"/>
      <c r="K65" s="9"/>
      <c r="L65" s="9"/>
    </row>
    <row r="66" spans="3:18" ht="15.75" thickBot="1" x14ac:dyDescent="0.3">
      <c r="C66" s="9"/>
      <c r="D66" s="9"/>
      <c r="E66" s="9"/>
      <c r="F66" s="9"/>
      <c r="G66" s="9"/>
      <c r="H66" s="9"/>
      <c r="I66" s="9"/>
      <c r="J66" s="9"/>
      <c r="K66" s="9"/>
      <c r="L66" s="9"/>
    </row>
    <row r="67" spans="3:18" ht="15.75" thickBot="1" x14ac:dyDescent="0.3">
      <c r="C67" s="9" t="s">
        <v>73</v>
      </c>
      <c r="D67" s="180" t="s">
        <v>74</v>
      </c>
      <c r="E67" s="181"/>
      <c r="F67" s="181"/>
      <c r="G67" s="181"/>
      <c r="H67" s="182"/>
      <c r="I67" s="9"/>
      <c r="J67" s="9"/>
      <c r="K67" s="9"/>
      <c r="L67" s="9"/>
    </row>
    <row r="68" spans="3:18" x14ac:dyDescent="0.25">
      <c r="C68" s="9"/>
      <c r="D68" s="9"/>
      <c r="E68" s="9"/>
      <c r="F68" s="9"/>
      <c r="G68" s="9"/>
      <c r="H68" s="9"/>
      <c r="I68" s="9"/>
      <c r="J68" s="9"/>
      <c r="K68" s="9"/>
      <c r="L68" s="9"/>
    </row>
    <row r="69" spans="3:18" x14ac:dyDescent="0.25">
      <c r="C69" s="9"/>
      <c r="D69" s="126" t="s">
        <v>75</v>
      </c>
      <c r="E69" s="126" t="s">
        <v>76</v>
      </c>
      <c r="F69" s="126" t="s">
        <v>42</v>
      </c>
      <c r="G69" s="126" t="s">
        <v>43</v>
      </c>
      <c r="H69" s="126" t="s">
        <v>0</v>
      </c>
      <c r="I69" s="9"/>
      <c r="J69" s="9"/>
      <c r="K69" s="9"/>
      <c r="L69" s="9"/>
    </row>
    <row r="70" spans="3:18" x14ac:dyDescent="0.25">
      <c r="C70" s="9"/>
      <c r="D70" s="1" t="s">
        <v>5</v>
      </c>
      <c r="E70" s="126">
        <v>1</v>
      </c>
      <c r="F70" s="1">
        <f>(F58)</f>
        <v>13709750</v>
      </c>
      <c r="G70" s="6">
        <f>(G58)</f>
        <v>2604852.5</v>
      </c>
      <c r="H70" s="6">
        <f>(H58)</f>
        <v>16314602.5</v>
      </c>
      <c r="I70" s="9"/>
      <c r="J70" s="9"/>
      <c r="K70" s="9"/>
      <c r="L70" s="9"/>
    </row>
    <row r="71" spans="3:18" x14ac:dyDescent="0.25">
      <c r="C71" s="9"/>
      <c r="D71" s="29" t="s">
        <v>77</v>
      </c>
      <c r="E71" s="126"/>
      <c r="F71" s="1"/>
      <c r="G71" s="6">
        <f>(G70)</f>
        <v>2604852.5</v>
      </c>
      <c r="H71" s="1"/>
      <c r="I71" s="9"/>
      <c r="J71" s="9" t="s">
        <v>284</v>
      </c>
      <c r="K71" s="9"/>
      <c r="L71" s="9"/>
    </row>
    <row r="72" spans="3:18" x14ac:dyDescent="0.25">
      <c r="C72" s="9"/>
      <c r="D72" s="1"/>
      <c r="E72" s="126"/>
      <c r="F72" s="1"/>
      <c r="G72" s="1"/>
      <c r="H72" s="1"/>
      <c r="I72" s="9"/>
      <c r="J72" s="9"/>
      <c r="K72" s="9"/>
      <c r="L72" s="9"/>
    </row>
    <row r="73" spans="3:18" x14ac:dyDescent="0.25">
      <c r="C73" s="9"/>
      <c r="D73" s="29" t="s">
        <v>78</v>
      </c>
      <c r="E73" s="126">
        <v>1</v>
      </c>
      <c r="F73" s="1"/>
      <c r="G73" s="6">
        <f>(G24)</f>
        <v>1586880</v>
      </c>
      <c r="H73" s="1"/>
      <c r="I73" s="9"/>
      <c r="J73" s="9" t="s">
        <v>410</v>
      </c>
      <c r="K73" s="9"/>
      <c r="L73" s="9"/>
    </row>
    <row r="74" spans="3:18" x14ac:dyDescent="0.25">
      <c r="C74" s="9"/>
      <c r="D74" s="29" t="s">
        <v>79</v>
      </c>
      <c r="E74" s="126">
        <v>1</v>
      </c>
      <c r="F74" s="1"/>
      <c r="G74" s="6">
        <f>(G25)</f>
        <v>1539000</v>
      </c>
      <c r="H74" s="1"/>
      <c r="I74" s="9"/>
      <c r="J74" s="9" t="s">
        <v>411</v>
      </c>
      <c r="K74" s="9"/>
      <c r="L74" s="9"/>
    </row>
    <row r="75" spans="3:18" x14ac:dyDescent="0.25">
      <c r="C75" s="9"/>
      <c r="D75" s="29" t="s">
        <v>80</v>
      </c>
      <c r="E75" s="126">
        <v>0</v>
      </c>
      <c r="F75" s="1"/>
      <c r="G75" s="6">
        <f>(E75*F75)</f>
        <v>0</v>
      </c>
      <c r="H75" s="1"/>
      <c r="I75" s="9"/>
      <c r="J75" s="9"/>
      <c r="K75" s="9"/>
      <c r="L75" s="9"/>
    </row>
    <row r="76" spans="3:18" x14ac:dyDescent="0.25">
      <c r="C76" s="9"/>
      <c r="D76" s="29" t="s">
        <v>81</v>
      </c>
      <c r="E76" s="126"/>
      <c r="F76" s="1"/>
      <c r="G76" s="6">
        <f>SUM(G73:G75)</f>
        <v>3125880</v>
      </c>
      <c r="H76" s="1"/>
      <c r="I76" s="9"/>
      <c r="J76" s="8" t="s">
        <v>288</v>
      </c>
      <c r="K76" s="9"/>
      <c r="L76" s="9"/>
    </row>
    <row r="77" spans="3:18" x14ac:dyDescent="0.25">
      <c r="C77" s="9"/>
      <c r="D77" s="1"/>
      <c r="E77" s="1"/>
      <c r="F77" s="1"/>
      <c r="G77" s="1"/>
      <c r="H77" s="1"/>
      <c r="I77" s="9"/>
      <c r="J77" s="9"/>
      <c r="K77" s="9"/>
      <c r="L77" s="9"/>
    </row>
    <row r="78" spans="3:18" x14ac:dyDescent="0.25">
      <c r="C78" s="9"/>
      <c r="D78" s="29" t="s">
        <v>82</v>
      </c>
      <c r="E78" s="1"/>
      <c r="F78" s="1"/>
      <c r="G78" s="1">
        <v>0</v>
      </c>
      <c r="H78" s="1"/>
      <c r="I78" s="9"/>
      <c r="J78" s="183" t="s">
        <v>83</v>
      </c>
      <c r="K78" s="183"/>
      <c r="L78" s="183"/>
      <c r="M78" s="183"/>
      <c r="N78" s="183"/>
      <c r="O78" s="183"/>
      <c r="P78" s="126" t="s">
        <v>86</v>
      </c>
      <c r="Q78" s="126" t="s">
        <v>12</v>
      </c>
      <c r="R78" s="126" t="s">
        <v>87</v>
      </c>
    </row>
    <row r="79" spans="3:18" x14ac:dyDescent="0.25">
      <c r="C79" s="9"/>
      <c r="D79" s="30" t="s">
        <v>84</v>
      </c>
      <c r="E79" s="102">
        <f>(G76-G71)</f>
        <v>521027.5</v>
      </c>
      <c r="F79" s="1"/>
      <c r="G79" s="1"/>
      <c r="H79" s="1"/>
      <c r="I79" s="9"/>
      <c r="J79" s="183" t="s">
        <v>85</v>
      </c>
      <c r="K79" s="183"/>
      <c r="L79" s="183"/>
      <c r="M79" s="183"/>
      <c r="N79" s="183"/>
      <c r="O79" s="183"/>
      <c r="P79" s="128">
        <f>(G76)</f>
        <v>3125880</v>
      </c>
      <c r="Q79" s="128">
        <f>(G71)</f>
        <v>2604852.5</v>
      </c>
      <c r="R79" s="128">
        <f>(P79-Q79)</f>
        <v>521027.5</v>
      </c>
    </row>
    <row r="80" spans="3:18" x14ac:dyDescent="0.25">
      <c r="C80" s="9"/>
      <c r="D80" s="30" t="s">
        <v>420</v>
      </c>
      <c r="E80" s="6"/>
      <c r="F80" s="1"/>
      <c r="G80" s="1"/>
      <c r="H80" s="1"/>
      <c r="I80" s="9"/>
      <c r="J80" s="124"/>
      <c r="K80" s="124"/>
      <c r="L80" s="124"/>
      <c r="M80" s="124"/>
      <c r="N80" s="124"/>
      <c r="O80" s="124"/>
      <c r="P80" s="101"/>
      <c r="Q80" s="101"/>
      <c r="R80" s="101"/>
    </row>
    <row r="81" spans="1:23" x14ac:dyDescent="0.25">
      <c r="C81" s="9"/>
      <c r="D81" s="1" t="s">
        <v>138</v>
      </c>
      <c r="E81" s="1"/>
      <c r="F81" s="1"/>
      <c r="G81" s="6">
        <f>(F140)</f>
        <v>20753.858484173332</v>
      </c>
      <c r="H81" s="1"/>
      <c r="I81" s="9"/>
      <c r="J81" s="9"/>
      <c r="K81" s="9"/>
      <c r="L81" s="9"/>
    </row>
    <row r="82" spans="1:23" x14ac:dyDescent="0.25">
      <c r="C82" s="9"/>
      <c r="D82" s="29" t="s">
        <v>88</v>
      </c>
      <c r="E82" s="1"/>
      <c r="F82" s="1">
        <v>315000</v>
      </c>
      <c r="G82" s="6">
        <f>(F82*10.75%)</f>
        <v>33862.5</v>
      </c>
      <c r="H82" s="1"/>
      <c r="I82" s="9"/>
      <c r="J82" s="9" t="s">
        <v>412</v>
      </c>
      <c r="K82" s="9"/>
      <c r="L82" s="9"/>
    </row>
    <row r="83" spans="1:23" x14ac:dyDescent="0.25">
      <c r="C83" s="9"/>
      <c r="D83" s="29" t="s">
        <v>89</v>
      </c>
      <c r="E83" s="1">
        <f>(F70)</f>
        <v>13709750</v>
      </c>
      <c r="F83" s="49">
        <v>0.02</v>
      </c>
      <c r="G83" s="1">
        <f>(E83*F83)</f>
        <v>274195</v>
      </c>
      <c r="H83" s="1"/>
      <c r="I83" s="9"/>
      <c r="J83" s="9" t="s">
        <v>90</v>
      </c>
      <c r="K83" s="9"/>
      <c r="L83" s="9"/>
    </row>
    <row r="84" spans="1:23" x14ac:dyDescent="0.25">
      <c r="C84" s="9"/>
      <c r="D84" s="1"/>
      <c r="E84" s="1"/>
      <c r="F84" s="1"/>
      <c r="G84" s="1"/>
      <c r="H84" s="1"/>
      <c r="I84" s="9"/>
      <c r="J84" s="9"/>
      <c r="K84" s="9"/>
      <c r="L84" s="9"/>
    </row>
    <row r="85" spans="1:23" x14ac:dyDescent="0.25">
      <c r="C85" s="9"/>
      <c r="D85" s="1" t="s">
        <v>91</v>
      </c>
      <c r="E85" s="1"/>
      <c r="F85" s="1"/>
      <c r="G85" s="6">
        <f>(G78+G81+G82+G83)</f>
        <v>328811.35848417331</v>
      </c>
      <c r="H85" s="1"/>
      <c r="I85" s="9"/>
      <c r="J85" s="9" t="s">
        <v>92</v>
      </c>
      <c r="K85" s="9"/>
      <c r="L85" s="9"/>
    </row>
    <row r="86" spans="1:23" x14ac:dyDescent="0.25">
      <c r="C86" s="9"/>
      <c r="D86" s="9"/>
      <c r="E86" s="9"/>
      <c r="F86" s="9"/>
      <c r="G86" s="9"/>
      <c r="H86" s="9"/>
      <c r="I86" s="9"/>
      <c r="J86" s="9"/>
      <c r="K86" s="9"/>
      <c r="L86" s="9"/>
    </row>
    <row r="87" spans="1:23" ht="15.75" thickBot="1" x14ac:dyDescent="0.3">
      <c r="C87" s="9"/>
      <c r="D87" s="9"/>
      <c r="E87" s="10"/>
      <c r="F87" s="10"/>
      <c r="G87" s="10"/>
      <c r="H87" s="9"/>
      <c r="I87" s="9"/>
      <c r="J87" s="9"/>
      <c r="K87" s="9"/>
      <c r="L87" s="9"/>
    </row>
    <row r="88" spans="1:23" x14ac:dyDescent="0.25">
      <c r="C88" s="9"/>
      <c r="D88" s="9"/>
      <c r="E88" s="9"/>
      <c r="F88" s="9"/>
      <c r="G88" s="9"/>
      <c r="H88" s="9"/>
      <c r="I88" s="9"/>
      <c r="J88" s="9"/>
      <c r="K88" s="9"/>
      <c r="L88" s="9"/>
      <c r="M88" s="184" t="s">
        <v>32</v>
      </c>
      <c r="N88" s="185"/>
      <c r="O88" s="185"/>
      <c r="P88" s="185"/>
      <c r="Q88" s="185"/>
      <c r="R88" s="185"/>
      <c r="S88" s="185"/>
      <c r="T88" s="185"/>
      <c r="U88" s="185"/>
      <c r="V88" s="185"/>
      <c r="W88" s="186"/>
    </row>
    <row r="89" spans="1:23" x14ac:dyDescent="0.25">
      <c r="C89" s="9"/>
      <c r="D89" s="9"/>
      <c r="E89" s="25" t="s">
        <v>25</v>
      </c>
      <c r="F89" s="50" t="s">
        <v>26</v>
      </c>
      <c r="G89" s="23" t="s">
        <v>27</v>
      </c>
      <c r="H89" s="51" t="s">
        <v>28</v>
      </c>
      <c r="I89" s="9"/>
      <c r="J89" s="9"/>
      <c r="K89" s="9"/>
      <c r="L89" s="9"/>
      <c r="M89" s="199" t="s">
        <v>250</v>
      </c>
      <c r="N89" s="170"/>
      <c r="O89" s="191"/>
      <c r="P89" s="191"/>
      <c r="Q89" s="191"/>
      <c r="R89" s="191"/>
      <c r="S89" s="116" t="s">
        <v>251</v>
      </c>
      <c r="T89" s="116"/>
      <c r="U89" s="9"/>
      <c r="V89" s="9"/>
      <c r="W89" s="115"/>
    </row>
    <row r="90" spans="1:23" x14ac:dyDescent="0.25">
      <c r="C90" s="9"/>
      <c r="D90" s="8" t="s">
        <v>219</v>
      </c>
      <c r="E90" s="24">
        <f>(E95-F104-F109-F113-F116+E118-F144-F151-F157-F214)</f>
        <v>3749580.9557065405</v>
      </c>
      <c r="F90" s="8"/>
      <c r="G90" s="24">
        <f>(E90+G95-H104-H109-H113-H116+G118-H144-H151-H157-H214)</f>
        <v>3454580.9557065405</v>
      </c>
      <c r="H90" s="8"/>
      <c r="I90" s="8"/>
      <c r="J90" s="9"/>
      <c r="K90" s="9"/>
      <c r="L90" s="9"/>
      <c r="M90" s="200" t="s">
        <v>252</v>
      </c>
      <c r="N90" s="201"/>
      <c r="O90" s="201"/>
      <c r="P90" s="201"/>
      <c r="Q90" s="201"/>
      <c r="R90" s="201"/>
      <c r="S90" s="1" t="s">
        <v>94</v>
      </c>
      <c r="T90" s="170"/>
      <c r="U90" s="170"/>
      <c r="V90" s="170"/>
      <c r="W90" s="170"/>
    </row>
    <row r="91" spans="1:23" ht="15.75" thickBot="1" x14ac:dyDescent="0.3">
      <c r="C91" s="9"/>
      <c r="D91" s="8" t="s">
        <v>220</v>
      </c>
      <c r="E91" s="24">
        <f>(-F103-F108-F152+E156-F168-F172+E174-F181)</f>
        <v>5000000</v>
      </c>
      <c r="F91" s="8"/>
      <c r="G91" s="24">
        <f>(E91-H103-H108-H152+G156-H168-H172+G174-H181)</f>
        <v>5000000</v>
      </c>
      <c r="H91" s="8"/>
      <c r="I91" s="8"/>
      <c r="J91" s="9"/>
      <c r="K91" s="9"/>
      <c r="L91" s="9"/>
      <c r="M91" s="202" t="s">
        <v>253</v>
      </c>
      <c r="N91" s="203"/>
      <c r="O91" s="203"/>
      <c r="P91" s="203"/>
      <c r="Q91" s="203"/>
      <c r="R91" s="203"/>
      <c r="S91" s="203"/>
      <c r="T91" s="203"/>
      <c r="U91" s="203"/>
      <c r="V91" s="203"/>
      <c r="W91" s="204"/>
    </row>
    <row r="92" spans="1:23" x14ac:dyDescent="0.25">
      <c r="A92" s="205" t="s">
        <v>223</v>
      </c>
      <c r="B92" s="186"/>
      <c r="C92" s="9"/>
      <c r="D92" s="179" t="s">
        <v>97</v>
      </c>
      <c r="E92" s="179"/>
      <c r="F92" s="179"/>
      <c r="G92" s="179"/>
      <c r="H92" s="179"/>
      <c r="I92" s="9"/>
      <c r="J92" s="9"/>
      <c r="K92" s="9"/>
      <c r="L92" s="9"/>
      <c r="M92" s="206"/>
      <c r="N92" s="207"/>
      <c r="O92" s="208"/>
      <c r="P92" s="105"/>
      <c r="Q92" s="105"/>
      <c r="R92" s="209" t="s">
        <v>29</v>
      </c>
      <c r="S92" s="209"/>
      <c r="T92" s="209" t="s">
        <v>30</v>
      </c>
      <c r="U92" s="209"/>
      <c r="V92" s="209" t="s">
        <v>31</v>
      </c>
      <c r="W92" s="209"/>
    </row>
    <row r="93" spans="1:23" ht="15.75" thickBot="1" x14ac:dyDescent="0.3">
      <c r="A93" s="210" t="s">
        <v>224</v>
      </c>
      <c r="B93" s="211"/>
      <c r="C93" s="104"/>
      <c r="D93" s="1"/>
      <c r="E93" s="191" t="s">
        <v>98</v>
      </c>
      <c r="F93" s="191"/>
      <c r="G93" s="191" t="s">
        <v>99</v>
      </c>
      <c r="H93" s="191"/>
      <c r="I93" s="191" t="s">
        <v>0</v>
      </c>
      <c r="J93" s="191"/>
      <c r="K93" s="9"/>
      <c r="L93" s="9"/>
      <c r="M93" s="191" t="s">
        <v>33</v>
      </c>
      <c r="N93" s="191"/>
      <c r="O93" s="191"/>
      <c r="P93" s="1" t="s">
        <v>249</v>
      </c>
      <c r="Q93" s="1" t="s">
        <v>22</v>
      </c>
      <c r="R93" s="1" t="s">
        <v>23</v>
      </c>
      <c r="S93" s="1" t="s">
        <v>24</v>
      </c>
      <c r="T93" s="1" t="s">
        <v>25</v>
      </c>
      <c r="U93" s="1" t="s">
        <v>26</v>
      </c>
      <c r="V93" s="1" t="s">
        <v>27</v>
      </c>
      <c r="W93" s="1" t="s">
        <v>28</v>
      </c>
    </row>
    <row r="94" spans="1:23" x14ac:dyDescent="0.25">
      <c r="A94" s="107" t="s">
        <v>225</v>
      </c>
      <c r="B94" s="107" t="s">
        <v>226</v>
      </c>
      <c r="C94" s="1"/>
      <c r="D94" s="126"/>
      <c r="E94" s="126" t="s">
        <v>95</v>
      </c>
      <c r="F94" s="126" t="s">
        <v>96</v>
      </c>
      <c r="G94" s="126" t="s">
        <v>95</v>
      </c>
      <c r="H94" s="126" t="s">
        <v>96</v>
      </c>
      <c r="I94" s="1"/>
      <c r="J94" s="1"/>
      <c r="K94" s="9"/>
      <c r="L94" s="9">
        <v>1</v>
      </c>
      <c r="M94" s="178" t="s">
        <v>2</v>
      </c>
      <c r="N94" s="178"/>
      <c r="O94" s="178"/>
      <c r="P94" s="52">
        <f>(I95+I118)</f>
        <v>23525841</v>
      </c>
      <c r="Q94" s="38">
        <f>(J104+J109+J113+J116+J144+J151+J157+J214)</f>
        <v>20071260.04429346</v>
      </c>
      <c r="R94" s="38">
        <f>(P94-Q94)</f>
        <v>3454580.9557065405</v>
      </c>
      <c r="S94" s="52"/>
      <c r="T94" s="38">
        <f>(R94)</f>
        <v>3454580.9557065405</v>
      </c>
      <c r="U94" s="1"/>
      <c r="V94" s="1"/>
      <c r="W94" s="1"/>
    </row>
    <row r="95" spans="1:23" x14ac:dyDescent="0.25">
      <c r="A95" s="106" t="s">
        <v>51</v>
      </c>
      <c r="B95" s="107"/>
      <c r="C95" s="28">
        <v>43770</v>
      </c>
      <c r="D95" s="29" t="s">
        <v>2</v>
      </c>
      <c r="E95" s="1">
        <v>17000000</v>
      </c>
      <c r="F95" s="1"/>
      <c r="G95" s="1">
        <v>0</v>
      </c>
      <c r="H95" s="1"/>
      <c r="I95" s="1">
        <f>(E95+G95)</f>
        <v>17000000</v>
      </c>
      <c r="J95" s="1"/>
      <c r="K95" s="9"/>
      <c r="L95" s="9">
        <f>(L94)+1</f>
        <v>2</v>
      </c>
      <c r="M95" s="178" t="s">
        <v>215</v>
      </c>
      <c r="N95" s="178"/>
      <c r="O95" s="178"/>
      <c r="P95" s="52">
        <f>(I119+I156+I174)</f>
        <v>5000000</v>
      </c>
      <c r="Q95" s="38">
        <f>(J99+J103+J108+J112+J152+J168+J172+J181)</f>
        <v>0</v>
      </c>
      <c r="R95" s="38">
        <f t="shared" ref="R95:R105" si="0">(P95-Q95)</f>
        <v>5000000</v>
      </c>
      <c r="S95" s="52"/>
      <c r="T95" s="38">
        <f t="shared" ref="T95:T105" si="1">(R95)</f>
        <v>5000000</v>
      </c>
      <c r="U95" s="1"/>
      <c r="V95" s="1"/>
      <c r="W95" s="1"/>
    </row>
    <row r="96" spans="1:23" x14ac:dyDescent="0.25">
      <c r="A96" s="106"/>
      <c r="B96" s="106"/>
      <c r="C96" s="1"/>
      <c r="D96" s="56" t="s">
        <v>16</v>
      </c>
      <c r="E96" s="1"/>
      <c r="F96" s="1">
        <v>17000000</v>
      </c>
      <c r="G96" s="1"/>
      <c r="H96" s="1">
        <v>0</v>
      </c>
      <c r="I96" s="1"/>
      <c r="J96" s="1">
        <f>(F96+H96)</f>
        <v>17000000</v>
      </c>
      <c r="K96" s="9"/>
      <c r="L96" s="9">
        <f t="shared" ref="L96:L140" si="2">(L95)+1</f>
        <v>3</v>
      </c>
      <c r="M96" s="178" t="s">
        <v>11</v>
      </c>
      <c r="N96" s="178"/>
      <c r="O96" s="178"/>
      <c r="P96" s="52">
        <f>(I120)</f>
        <v>9788761.5</v>
      </c>
      <c r="Q96" s="52">
        <f>(J175)</f>
        <v>0</v>
      </c>
      <c r="R96" s="38">
        <f t="shared" si="0"/>
        <v>9788761.5</v>
      </c>
      <c r="S96" s="52"/>
      <c r="T96" s="38">
        <f t="shared" si="1"/>
        <v>9788761.5</v>
      </c>
      <c r="U96" s="1"/>
      <c r="V96" s="1"/>
      <c r="W96" s="1"/>
    </row>
    <row r="97" spans="1:23" x14ac:dyDescent="0.25">
      <c r="A97" s="108"/>
      <c r="B97" s="108"/>
      <c r="C97" s="44"/>
      <c r="D97" s="53" t="s">
        <v>100</v>
      </c>
      <c r="E97" s="44"/>
      <c r="F97" s="44">
        <f>(E95-F96)</f>
        <v>0</v>
      </c>
      <c r="G97" s="44"/>
      <c r="H97" s="44"/>
      <c r="I97" s="44"/>
      <c r="J97" s="44">
        <f>(I95-J96)</f>
        <v>0</v>
      </c>
      <c r="K97" s="9"/>
      <c r="L97" s="9">
        <f t="shared" si="2"/>
        <v>4</v>
      </c>
      <c r="M97" s="178" t="s">
        <v>6</v>
      </c>
      <c r="N97" s="178"/>
      <c r="O97" s="178"/>
      <c r="P97" s="52">
        <f>(I148)</f>
        <v>8352000</v>
      </c>
      <c r="Q97" s="52">
        <f>(J190)</f>
        <v>0</v>
      </c>
      <c r="R97" s="38">
        <f t="shared" si="0"/>
        <v>8352000</v>
      </c>
      <c r="S97" s="52"/>
      <c r="T97" s="38">
        <f t="shared" si="1"/>
        <v>8352000</v>
      </c>
      <c r="U97" s="1"/>
      <c r="V97" s="1"/>
      <c r="W97" s="1"/>
    </row>
    <row r="98" spans="1:23" x14ac:dyDescent="0.25">
      <c r="A98" s="106"/>
      <c r="B98" s="106" t="s">
        <v>110</v>
      </c>
      <c r="C98" s="28">
        <v>43816</v>
      </c>
      <c r="D98" s="29" t="s">
        <v>102</v>
      </c>
      <c r="E98" s="1"/>
      <c r="F98" s="1"/>
      <c r="G98" s="1"/>
      <c r="H98" s="1"/>
      <c r="I98" s="1">
        <f t="shared" ref="I98:I150" si="3">(E98+G98)</f>
        <v>0</v>
      </c>
      <c r="J98" s="1"/>
      <c r="K98" s="9"/>
      <c r="L98" s="9">
        <f t="shared" si="2"/>
        <v>5</v>
      </c>
      <c r="M98" s="178" t="s">
        <v>14</v>
      </c>
      <c r="N98" s="178"/>
      <c r="O98" s="178"/>
      <c r="P98" s="52">
        <f>(I180+I186)</f>
        <v>0</v>
      </c>
      <c r="Q98" s="52"/>
      <c r="R98" s="38">
        <f t="shared" si="0"/>
        <v>0</v>
      </c>
      <c r="S98" s="52"/>
      <c r="T98" s="38">
        <f t="shared" si="1"/>
        <v>0</v>
      </c>
      <c r="U98" s="1"/>
      <c r="V98" s="1"/>
      <c r="W98" s="1"/>
    </row>
    <row r="99" spans="1:23" x14ac:dyDescent="0.25">
      <c r="A99" s="106"/>
      <c r="B99" s="106"/>
      <c r="C99" s="1"/>
      <c r="D99" s="56" t="s">
        <v>215</v>
      </c>
      <c r="E99" s="1"/>
      <c r="F99" s="1"/>
      <c r="G99" s="1"/>
      <c r="H99" s="1"/>
      <c r="I99" s="1"/>
      <c r="J99" s="1">
        <f t="shared" ref="J99:J154" si="4">(F99+H99)</f>
        <v>0</v>
      </c>
      <c r="K99" s="9"/>
      <c r="L99" s="9">
        <f t="shared" si="2"/>
        <v>6</v>
      </c>
      <c r="M99" s="178" t="s">
        <v>13</v>
      </c>
      <c r="N99" s="178"/>
      <c r="O99" s="178"/>
      <c r="P99" s="52">
        <f>(I149+I198)</f>
        <v>8100000</v>
      </c>
      <c r="Q99" s="52">
        <f>(J203+J207)</f>
        <v>0</v>
      </c>
      <c r="R99" s="38">
        <f t="shared" si="0"/>
        <v>8100000</v>
      </c>
      <c r="S99" s="52"/>
      <c r="T99" s="38">
        <f t="shared" si="1"/>
        <v>8100000</v>
      </c>
      <c r="U99" s="1"/>
      <c r="V99" s="1"/>
      <c r="W99" s="1"/>
    </row>
    <row r="100" spans="1:23" x14ac:dyDescent="0.25">
      <c r="A100" s="108"/>
      <c r="B100" s="108"/>
      <c r="C100" s="44"/>
      <c r="D100" s="53" t="s">
        <v>104</v>
      </c>
      <c r="E100" s="44"/>
      <c r="F100" s="44"/>
      <c r="G100" s="44"/>
      <c r="H100" s="44"/>
      <c r="I100" s="44"/>
      <c r="J100" s="44"/>
      <c r="K100" s="9"/>
      <c r="L100" s="9">
        <f t="shared" si="2"/>
        <v>7</v>
      </c>
      <c r="M100" s="178" t="s">
        <v>7</v>
      </c>
      <c r="N100" s="178"/>
      <c r="O100" s="178"/>
      <c r="P100" s="52">
        <f>(I146+I199)</f>
        <v>0</v>
      </c>
      <c r="Q100" s="52">
        <f>(J204+J208)</f>
        <v>0</v>
      </c>
      <c r="R100" s="38">
        <f t="shared" si="0"/>
        <v>0</v>
      </c>
      <c r="S100" s="52"/>
      <c r="T100" s="38">
        <f t="shared" si="1"/>
        <v>0</v>
      </c>
      <c r="U100" s="1"/>
      <c r="V100" s="1"/>
      <c r="W100" s="1"/>
    </row>
    <row r="101" spans="1:23" x14ac:dyDescent="0.25">
      <c r="A101" s="106" t="s">
        <v>101</v>
      </c>
      <c r="B101" s="106"/>
      <c r="C101" s="28">
        <v>43777</v>
      </c>
      <c r="D101" s="29" t="s">
        <v>105</v>
      </c>
      <c r="E101" s="1">
        <v>295000</v>
      </c>
      <c r="F101" s="1"/>
      <c r="G101" s="1">
        <v>295000</v>
      </c>
      <c r="H101" s="1"/>
      <c r="I101" s="1">
        <f t="shared" si="3"/>
        <v>590000</v>
      </c>
      <c r="J101" s="1"/>
      <c r="K101" s="9"/>
      <c r="L101" s="9">
        <f t="shared" si="2"/>
        <v>8</v>
      </c>
      <c r="M101" s="178" t="s">
        <v>254</v>
      </c>
      <c r="N101" s="178"/>
      <c r="O101" s="178"/>
      <c r="P101" s="52">
        <f>(I202)</f>
        <v>0</v>
      </c>
      <c r="Q101" s="52"/>
      <c r="R101" s="38">
        <f t="shared" si="0"/>
        <v>0</v>
      </c>
      <c r="S101" s="52"/>
      <c r="T101" s="38">
        <f t="shared" si="1"/>
        <v>0</v>
      </c>
      <c r="U101" s="1"/>
      <c r="V101" s="1"/>
      <c r="W101" s="1"/>
    </row>
    <row r="102" spans="1:23" x14ac:dyDescent="0.25">
      <c r="A102" s="106"/>
      <c r="B102" s="106" t="s">
        <v>51</v>
      </c>
      <c r="C102" s="28">
        <v>43801</v>
      </c>
      <c r="D102" s="29" t="s">
        <v>106</v>
      </c>
      <c r="E102" s="1">
        <v>295000</v>
      </c>
      <c r="F102" s="1"/>
      <c r="G102" s="1"/>
      <c r="H102" s="1"/>
      <c r="I102" s="1">
        <f t="shared" si="3"/>
        <v>295000</v>
      </c>
      <c r="J102" s="1"/>
      <c r="K102" s="9"/>
      <c r="L102" s="9">
        <f t="shared" si="2"/>
        <v>9</v>
      </c>
      <c r="M102" s="178" t="s">
        <v>255</v>
      </c>
      <c r="N102" s="178"/>
      <c r="O102" s="178"/>
      <c r="P102" s="52">
        <f>(I102)</f>
        <v>295000</v>
      </c>
      <c r="Q102" s="52"/>
      <c r="R102" s="38">
        <f t="shared" si="0"/>
        <v>295000</v>
      </c>
      <c r="S102" s="52"/>
      <c r="T102" s="38">
        <f t="shared" si="1"/>
        <v>295000</v>
      </c>
      <c r="U102" s="1"/>
      <c r="V102" s="1"/>
      <c r="W102" s="1"/>
    </row>
    <row r="103" spans="1:23" x14ac:dyDescent="0.25">
      <c r="A103" s="106"/>
      <c r="B103" s="106"/>
      <c r="C103" s="1"/>
      <c r="D103" s="56" t="s">
        <v>215</v>
      </c>
      <c r="E103" s="1"/>
      <c r="F103" s="1"/>
      <c r="G103" s="1"/>
      <c r="H103" s="1"/>
      <c r="I103" s="1"/>
      <c r="J103" s="1">
        <f>(F103+H103)</f>
        <v>0</v>
      </c>
      <c r="K103" s="9"/>
      <c r="L103" s="9">
        <f t="shared" si="2"/>
        <v>10</v>
      </c>
      <c r="M103" s="178" t="s">
        <v>15</v>
      </c>
      <c r="N103" s="178"/>
      <c r="O103" s="178"/>
      <c r="P103" s="52">
        <f>(I111)</f>
        <v>4750000</v>
      </c>
      <c r="Q103" s="52"/>
      <c r="R103" s="38">
        <f t="shared" si="0"/>
        <v>4750000</v>
      </c>
      <c r="S103" s="52"/>
      <c r="T103" s="38">
        <f t="shared" si="1"/>
        <v>4750000</v>
      </c>
      <c r="U103" s="1"/>
      <c r="V103" s="1"/>
      <c r="W103" s="1"/>
    </row>
    <row r="104" spans="1:23" x14ac:dyDescent="0.25">
      <c r="A104" s="106"/>
      <c r="B104" s="106"/>
      <c r="C104" s="1"/>
      <c r="D104" s="56" t="s">
        <v>2</v>
      </c>
      <c r="E104" s="1"/>
      <c r="F104" s="1">
        <v>590000</v>
      </c>
      <c r="G104" s="1"/>
      <c r="H104" s="1">
        <v>295000</v>
      </c>
      <c r="I104" s="1"/>
      <c r="J104" s="1">
        <f t="shared" si="4"/>
        <v>885000</v>
      </c>
      <c r="K104" s="9"/>
      <c r="L104" s="9">
        <f t="shared" si="2"/>
        <v>11</v>
      </c>
      <c r="M104" s="178" t="s">
        <v>214</v>
      </c>
      <c r="N104" s="178"/>
      <c r="O104" s="178"/>
      <c r="P104" s="52">
        <f>(I115+I213)</f>
        <v>550000</v>
      </c>
      <c r="Q104" s="52">
        <f>(J143)</f>
        <v>550000</v>
      </c>
      <c r="R104" s="38">
        <f t="shared" si="0"/>
        <v>0</v>
      </c>
      <c r="S104" s="52"/>
      <c r="T104" s="38">
        <f t="shared" si="1"/>
        <v>0</v>
      </c>
      <c r="U104" s="1"/>
      <c r="V104" s="1"/>
      <c r="W104" s="1"/>
    </row>
    <row r="105" spans="1:23" x14ac:dyDescent="0.25">
      <c r="A105" s="108"/>
      <c r="B105" s="108"/>
      <c r="C105" s="44"/>
      <c r="D105" s="53" t="s">
        <v>107</v>
      </c>
      <c r="E105" s="44"/>
      <c r="F105" s="44"/>
      <c r="G105" s="44"/>
      <c r="H105" s="44"/>
      <c r="I105" s="44"/>
      <c r="J105" s="44">
        <f>(I101+I102-J103-J104)</f>
        <v>0</v>
      </c>
      <c r="K105" s="9"/>
      <c r="L105" s="9">
        <f t="shared" si="2"/>
        <v>12</v>
      </c>
      <c r="M105" s="178" t="s">
        <v>10</v>
      </c>
      <c r="N105" s="178"/>
      <c r="O105" s="178"/>
      <c r="P105" s="38">
        <f>(I150)</f>
        <v>3125880</v>
      </c>
      <c r="Q105" s="52">
        <f>(J184+J211)</f>
        <v>0</v>
      </c>
      <c r="R105" s="38">
        <f t="shared" si="0"/>
        <v>3125880</v>
      </c>
      <c r="S105" s="52"/>
      <c r="T105" s="38">
        <f t="shared" si="1"/>
        <v>3125880</v>
      </c>
      <c r="U105" s="1"/>
      <c r="V105" s="1"/>
      <c r="W105" s="1"/>
    </row>
    <row r="106" spans="1:23" x14ac:dyDescent="0.25">
      <c r="A106" s="106" t="s">
        <v>227</v>
      </c>
      <c r="B106" s="106"/>
      <c r="C106" s="28">
        <v>43784</v>
      </c>
      <c r="D106" s="29" t="s">
        <v>18</v>
      </c>
      <c r="E106" s="1">
        <v>315000</v>
      </c>
      <c r="F106" s="1"/>
      <c r="G106" s="1"/>
      <c r="H106" s="1"/>
      <c r="I106" s="1">
        <f t="shared" si="3"/>
        <v>315000</v>
      </c>
      <c r="J106" s="1"/>
      <c r="K106" s="9"/>
      <c r="L106" s="124">
        <f t="shared" si="2"/>
        <v>13</v>
      </c>
      <c r="M106" s="176" t="s">
        <v>12</v>
      </c>
      <c r="N106" s="176"/>
      <c r="O106" s="176"/>
      <c r="P106" s="119">
        <f>(I177+I183)</f>
        <v>0</v>
      </c>
      <c r="Q106" s="33">
        <f>(J122)</f>
        <v>2604852.5</v>
      </c>
      <c r="R106" s="33"/>
      <c r="S106" s="33">
        <f>(Q106-P106)</f>
        <v>2604852.5</v>
      </c>
      <c r="T106" s="33"/>
      <c r="U106" s="33">
        <f>(S106)</f>
        <v>2604852.5</v>
      </c>
      <c r="V106" s="1"/>
      <c r="W106" s="1"/>
    </row>
    <row r="107" spans="1:23" x14ac:dyDescent="0.25">
      <c r="A107" s="106"/>
      <c r="B107" s="106" t="s">
        <v>229</v>
      </c>
      <c r="C107" s="28">
        <v>43814</v>
      </c>
      <c r="D107" s="56" t="s">
        <v>108</v>
      </c>
      <c r="E107" s="54"/>
      <c r="F107" s="58">
        <v>33863</v>
      </c>
      <c r="G107" s="1"/>
      <c r="H107" s="1"/>
      <c r="I107" s="1"/>
      <c r="J107" s="1">
        <f t="shared" si="4"/>
        <v>33863</v>
      </c>
      <c r="K107" s="9"/>
      <c r="L107" s="124">
        <f t="shared" si="2"/>
        <v>14</v>
      </c>
      <c r="M107" s="176" t="s">
        <v>257</v>
      </c>
      <c r="N107" s="176"/>
      <c r="O107" s="176"/>
      <c r="P107" s="119">
        <f>(I178)</f>
        <v>0</v>
      </c>
      <c r="Q107" s="33">
        <f>(J107)</f>
        <v>33863</v>
      </c>
      <c r="R107" s="33"/>
      <c r="S107" s="33">
        <f t="shared" ref="S107:S120" si="5">(Q107-P107)</f>
        <v>33863</v>
      </c>
      <c r="T107" s="33"/>
      <c r="U107" s="33">
        <f t="shared" ref="U107:U120" si="6">(S107)</f>
        <v>33863</v>
      </c>
      <c r="V107" s="1"/>
      <c r="W107" s="1"/>
    </row>
    <row r="108" spans="1:23" x14ac:dyDescent="0.25">
      <c r="A108" s="106"/>
      <c r="B108" s="106"/>
      <c r="C108" s="1"/>
      <c r="D108" s="56" t="s">
        <v>215</v>
      </c>
      <c r="E108" s="54"/>
      <c r="F108" s="58"/>
      <c r="G108" s="1"/>
      <c r="H108" s="1"/>
      <c r="I108" s="1"/>
      <c r="J108" s="1">
        <f t="shared" si="4"/>
        <v>0</v>
      </c>
      <c r="K108" s="9"/>
      <c r="L108" s="124">
        <f t="shared" si="2"/>
        <v>15</v>
      </c>
      <c r="M108" s="176" t="s">
        <v>196</v>
      </c>
      <c r="N108" s="176"/>
      <c r="O108" s="176"/>
      <c r="P108" s="119">
        <f>(I179)</f>
        <v>0</v>
      </c>
      <c r="Q108" s="33">
        <f>(J140)</f>
        <v>20753.858484173332</v>
      </c>
      <c r="R108" s="33"/>
      <c r="S108" s="33">
        <f t="shared" si="5"/>
        <v>20753.858484173332</v>
      </c>
      <c r="T108" s="33"/>
      <c r="U108" s="33">
        <f t="shared" si="6"/>
        <v>20753.858484173332</v>
      </c>
      <c r="V108" s="1"/>
      <c r="W108" s="1"/>
    </row>
    <row r="109" spans="1:23" x14ac:dyDescent="0.25">
      <c r="A109" s="106"/>
      <c r="B109" s="106"/>
      <c r="C109" s="1"/>
      <c r="D109" s="56" t="s">
        <v>2</v>
      </c>
      <c r="E109" s="54"/>
      <c r="F109" s="58">
        <v>281137</v>
      </c>
      <c r="G109" s="1"/>
      <c r="H109" s="1"/>
      <c r="I109" s="1"/>
      <c r="J109" s="1">
        <f t="shared" si="4"/>
        <v>281137</v>
      </c>
      <c r="K109" s="9"/>
      <c r="L109" s="124">
        <f t="shared" si="2"/>
        <v>16</v>
      </c>
      <c r="M109" s="176" t="s">
        <v>121</v>
      </c>
      <c r="N109" s="176"/>
      <c r="O109" s="176"/>
      <c r="P109" s="119"/>
      <c r="Q109" s="33">
        <f>(J187)</f>
        <v>0</v>
      </c>
      <c r="R109" s="33"/>
      <c r="S109" s="33">
        <f t="shared" si="5"/>
        <v>0</v>
      </c>
      <c r="T109" s="33"/>
      <c r="U109" s="33">
        <f t="shared" si="6"/>
        <v>0</v>
      </c>
      <c r="V109" s="1"/>
      <c r="W109" s="1"/>
    </row>
    <row r="110" spans="1:23" x14ac:dyDescent="0.25">
      <c r="A110" s="108"/>
      <c r="B110" s="108"/>
      <c r="C110" s="44"/>
      <c r="D110" s="53" t="s">
        <v>109</v>
      </c>
      <c r="E110" s="44"/>
      <c r="F110" s="44">
        <f>(E106-F107-F108-F109)</f>
        <v>0</v>
      </c>
      <c r="G110" s="44"/>
      <c r="H110" s="44">
        <f>(G106-H107-H108-H109)</f>
        <v>0</v>
      </c>
      <c r="I110" s="44"/>
      <c r="J110" s="44">
        <f>(I106-J107-J108-J109)</f>
        <v>0</v>
      </c>
      <c r="K110" s="9"/>
      <c r="L110" s="124">
        <f t="shared" si="2"/>
        <v>17</v>
      </c>
      <c r="M110" s="176" t="s">
        <v>65</v>
      </c>
      <c r="N110" s="176"/>
      <c r="O110" s="176"/>
      <c r="P110" s="33">
        <f>(I160)</f>
        <v>0</v>
      </c>
      <c r="Q110" s="33">
        <f>(J134)</f>
        <v>167391.78092766667</v>
      </c>
      <c r="R110" s="33"/>
      <c r="S110" s="33">
        <f t="shared" si="5"/>
        <v>167391.78092766667</v>
      </c>
      <c r="T110" s="33"/>
      <c r="U110" s="33">
        <f t="shared" si="6"/>
        <v>167391.78092766667</v>
      </c>
      <c r="V110" s="1"/>
      <c r="W110" s="1"/>
    </row>
    <row r="111" spans="1:23" x14ac:dyDescent="0.25">
      <c r="A111" s="106" t="s">
        <v>230</v>
      </c>
      <c r="B111" s="106"/>
      <c r="C111" s="28">
        <v>43799</v>
      </c>
      <c r="D111" s="29" t="s">
        <v>15</v>
      </c>
      <c r="E111" s="1">
        <v>4750000</v>
      </c>
      <c r="F111" s="1"/>
      <c r="G111" s="1"/>
      <c r="H111" s="1"/>
      <c r="I111" s="1">
        <f t="shared" si="3"/>
        <v>4750000</v>
      </c>
      <c r="J111" s="1"/>
      <c r="K111" s="9"/>
      <c r="L111" s="124">
        <f t="shared" si="2"/>
        <v>18</v>
      </c>
      <c r="M111" s="176" t="s">
        <v>193</v>
      </c>
      <c r="N111" s="176"/>
      <c r="O111" s="176"/>
      <c r="P111" s="33">
        <f>(I161)</f>
        <v>0</v>
      </c>
      <c r="Q111" s="33">
        <f>(J135)</f>
        <v>63880.469856700001</v>
      </c>
      <c r="R111" s="33"/>
      <c r="S111" s="33">
        <f t="shared" si="5"/>
        <v>63880.469856700001</v>
      </c>
      <c r="T111" s="33"/>
      <c r="U111" s="33">
        <f t="shared" si="6"/>
        <v>63880.469856700001</v>
      </c>
      <c r="V111" s="1"/>
      <c r="W111" s="1"/>
    </row>
    <row r="112" spans="1:23" x14ac:dyDescent="0.25">
      <c r="A112" s="106"/>
      <c r="B112" s="106" t="s">
        <v>236</v>
      </c>
      <c r="C112" s="28">
        <v>43822</v>
      </c>
      <c r="D112" s="56" t="s">
        <v>215</v>
      </c>
      <c r="E112" s="1"/>
      <c r="F112" s="1"/>
      <c r="G112" s="1"/>
      <c r="H112" s="1"/>
      <c r="I112" s="1"/>
      <c r="J112" s="1">
        <f t="shared" si="4"/>
        <v>0</v>
      </c>
      <c r="K112" s="9"/>
      <c r="L112" s="124">
        <f t="shared" si="2"/>
        <v>19</v>
      </c>
      <c r="M112" s="176" t="s">
        <v>258</v>
      </c>
      <c r="N112" s="176"/>
      <c r="O112" s="176"/>
      <c r="P112" s="33">
        <f>(I162)</f>
        <v>0</v>
      </c>
      <c r="Q112" s="33">
        <f>(J136)</f>
        <v>39677.310470000004</v>
      </c>
      <c r="R112" s="33"/>
      <c r="S112" s="33">
        <f t="shared" si="5"/>
        <v>39677.310470000004</v>
      </c>
      <c r="T112" s="33"/>
      <c r="U112" s="33">
        <f t="shared" si="6"/>
        <v>39677.310470000004</v>
      </c>
      <c r="V112" s="1"/>
      <c r="W112" s="1"/>
    </row>
    <row r="113" spans="1:23" x14ac:dyDescent="0.25">
      <c r="A113" s="106"/>
      <c r="B113" s="106"/>
      <c r="C113" s="1"/>
      <c r="D113" s="56" t="s">
        <v>2</v>
      </c>
      <c r="E113" s="54"/>
      <c r="F113" s="54">
        <v>4750000</v>
      </c>
      <c r="G113" s="1"/>
      <c r="H113" s="1"/>
      <c r="I113" s="1"/>
      <c r="J113" s="1">
        <f t="shared" si="4"/>
        <v>4750000</v>
      </c>
      <c r="K113" s="9"/>
      <c r="L113" s="124">
        <f t="shared" si="2"/>
        <v>20</v>
      </c>
      <c r="M113" s="176" t="s">
        <v>154</v>
      </c>
      <c r="N113" s="176"/>
      <c r="O113" s="176"/>
      <c r="P113" s="33">
        <f>(I163)</f>
        <v>0</v>
      </c>
      <c r="Q113" s="33">
        <f>(J137)</f>
        <v>102335.58659333334</v>
      </c>
      <c r="R113" s="33"/>
      <c r="S113" s="33">
        <f t="shared" si="5"/>
        <v>102335.58659333334</v>
      </c>
      <c r="T113" s="33"/>
      <c r="U113" s="33">
        <f t="shared" si="6"/>
        <v>102335.58659333334</v>
      </c>
      <c r="V113" s="1"/>
      <c r="W113" s="1"/>
    </row>
    <row r="114" spans="1:23" x14ac:dyDescent="0.25">
      <c r="A114" s="108"/>
      <c r="B114" s="108"/>
      <c r="C114" s="44"/>
      <c r="D114" s="53" t="s">
        <v>112</v>
      </c>
      <c r="E114" s="55"/>
      <c r="F114" s="55">
        <f>(E111-F112-F113)</f>
        <v>0</v>
      </c>
      <c r="G114" s="44"/>
      <c r="H114" s="55">
        <f>(G111-H112-H113)</f>
        <v>0</v>
      </c>
      <c r="I114" s="44"/>
      <c r="J114" s="55">
        <f>(I111-J112-J113)</f>
        <v>0</v>
      </c>
      <c r="K114" s="9"/>
      <c r="L114" s="124">
        <f t="shared" si="2"/>
        <v>21</v>
      </c>
      <c r="M114" s="176" t="s">
        <v>211</v>
      </c>
      <c r="N114" s="176"/>
      <c r="O114" s="176"/>
      <c r="P114" s="33">
        <f>(I165)</f>
        <v>0</v>
      </c>
      <c r="Q114" s="33">
        <f>(J139)</f>
        <v>53356.274182366666</v>
      </c>
      <c r="R114" s="33"/>
      <c r="S114" s="33">
        <f t="shared" si="5"/>
        <v>53356.274182366666</v>
      </c>
      <c r="T114" s="33"/>
      <c r="U114" s="33">
        <f t="shared" si="6"/>
        <v>53356.274182366666</v>
      </c>
      <c r="V114" s="1"/>
      <c r="W114" s="1"/>
    </row>
    <row r="115" spans="1:23" x14ac:dyDescent="0.25">
      <c r="A115" s="106" t="s">
        <v>228</v>
      </c>
      <c r="B115" s="109"/>
      <c r="C115" s="31">
        <v>43784</v>
      </c>
      <c r="D115" s="75" t="s">
        <v>232</v>
      </c>
      <c r="E115" s="56">
        <v>550000</v>
      </c>
      <c r="F115" s="56"/>
      <c r="G115" s="29"/>
      <c r="H115" s="29"/>
      <c r="I115" s="1">
        <f t="shared" ref="I115" si="7">(E115+G115)</f>
        <v>550000</v>
      </c>
      <c r="J115" s="1"/>
      <c r="K115" s="9"/>
      <c r="L115" s="124">
        <f t="shared" si="2"/>
        <v>22</v>
      </c>
      <c r="M115" s="176" t="s">
        <v>260</v>
      </c>
      <c r="N115" s="176"/>
      <c r="O115" s="176"/>
      <c r="P115" s="33">
        <f>(I164)</f>
        <v>0</v>
      </c>
      <c r="Q115" s="33">
        <f>(J138)</f>
        <v>8771.6217080000006</v>
      </c>
      <c r="R115" s="33"/>
      <c r="S115" s="33">
        <f t="shared" si="5"/>
        <v>8771.6217080000006</v>
      </c>
      <c r="T115" s="33"/>
      <c r="U115" s="33">
        <f t="shared" si="6"/>
        <v>8771.6217080000006</v>
      </c>
      <c r="V115" s="1"/>
      <c r="W115" s="1"/>
    </row>
    <row r="116" spans="1:23" x14ac:dyDescent="0.25">
      <c r="A116" s="106"/>
      <c r="B116" s="109" t="s">
        <v>230</v>
      </c>
      <c r="C116" s="31">
        <v>43814</v>
      </c>
      <c r="D116" s="56" t="s">
        <v>2</v>
      </c>
      <c r="E116" s="56"/>
      <c r="F116" s="56">
        <v>550000</v>
      </c>
      <c r="G116" s="29"/>
      <c r="H116" s="29"/>
      <c r="I116" s="1"/>
      <c r="J116" s="1">
        <f t="shared" ref="J116" si="8">(F116+H116)</f>
        <v>550000</v>
      </c>
      <c r="K116" s="9"/>
      <c r="L116" s="124">
        <f t="shared" si="2"/>
        <v>23</v>
      </c>
      <c r="M116" s="176" t="s">
        <v>259</v>
      </c>
      <c r="N116" s="176"/>
      <c r="O116" s="176"/>
      <c r="P116" s="33">
        <f>(I167)</f>
        <v>0</v>
      </c>
      <c r="Q116" s="33">
        <f>(J142)</f>
        <v>52091.048462000006</v>
      </c>
      <c r="R116" s="33"/>
      <c r="S116" s="33">
        <f t="shared" si="5"/>
        <v>52091.048462000006</v>
      </c>
      <c r="T116" s="33"/>
      <c r="U116" s="33">
        <f t="shared" si="6"/>
        <v>52091.048462000006</v>
      </c>
      <c r="V116" s="1"/>
      <c r="W116" s="1"/>
    </row>
    <row r="117" spans="1:23" x14ac:dyDescent="0.25">
      <c r="A117" s="108"/>
      <c r="B117" s="108"/>
      <c r="C117" s="44"/>
      <c r="D117" s="53" t="s">
        <v>213</v>
      </c>
      <c r="E117" s="55"/>
      <c r="F117" s="55"/>
      <c r="G117" s="44"/>
      <c r="H117" s="44"/>
      <c r="I117" s="44"/>
      <c r="J117" s="44"/>
      <c r="K117" s="9"/>
      <c r="L117" s="124">
        <f t="shared" si="2"/>
        <v>24</v>
      </c>
      <c r="M117" s="176" t="s">
        <v>201</v>
      </c>
      <c r="N117" s="176"/>
      <c r="O117" s="176"/>
      <c r="P117" s="33">
        <f>(I166)</f>
        <v>0</v>
      </c>
      <c r="Q117" s="33">
        <f>(J141)</f>
        <v>31039.961786700002</v>
      </c>
      <c r="R117" s="33"/>
      <c r="S117" s="33">
        <f t="shared" si="5"/>
        <v>31039.961786700002</v>
      </c>
      <c r="T117" s="33"/>
      <c r="U117" s="33">
        <f t="shared" si="6"/>
        <v>31039.961786700002</v>
      </c>
      <c r="V117" s="1"/>
      <c r="W117" s="1"/>
    </row>
    <row r="118" spans="1:23" x14ac:dyDescent="0.25">
      <c r="A118" s="106" t="s">
        <v>103</v>
      </c>
      <c r="B118" s="106"/>
      <c r="C118" s="28">
        <v>43772</v>
      </c>
      <c r="D118" s="29" t="s">
        <v>2</v>
      </c>
      <c r="E118" s="34">
        <f>(J58)</f>
        <v>6525841</v>
      </c>
      <c r="F118" s="29"/>
      <c r="G118" s="1"/>
      <c r="H118" s="1"/>
      <c r="I118" s="1">
        <f t="shared" si="3"/>
        <v>6525841</v>
      </c>
      <c r="J118" s="1"/>
      <c r="K118" s="9"/>
      <c r="L118" s="124">
        <f t="shared" si="2"/>
        <v>25</v>
      </c>
      <c r="M118" s="176" t="s">
        <v>8</v>
      </c>
      <c r="N118" s="176"/>
      <c r="O118" s="176"/>
      <c r="P118" s="33">
        <f>(I170)</f>
        <v>0</v>
      </c>
      <c r="Q118" s="33">
        <f>(J153)</f>
        <v>3975552</v>
      </c>
      <c r="R118" s="33"/>
      <c r="S118" s="33">
        <f t="shared" si="5"/>
        <v>3975552</v>
      </c>
      <c r="T118" s="33"/>
      <c r="U118" s="33">
        <f t="shared" si="6"/>
        <v>3975552</v>
      </c>
      <c r="V118" s="1"/>
      <c r="W118" s="1"/>
    </row>
    <row r="119" spans="1:23" x14ac:dyDescent="0.25">
      <c r="A119" s="106"/>
      <c r="B119" s="106" t="s">
        <v>103</v>
      </c>
      <c r="C119" s="28">
        <v>43804</v>
      </c>
      <c r="D119" s="29" t="s">
        <v>215</v>
      </c>
      <c r="E119" s="34"/>
      <c r="F119" s="29"/>
      <c r="G119" s="1"/>
      <c r="H119" s="1"/>
      <c r="I119" s="1">
        <f t="shared" si="3"/>
        <v>0</v>
      </c>
      <c r="J119" s="1"/>
      <c r="K119" s="9"/>
      <c r="L119" s="124">
        <f t="shared" si="2"/>
        <v>26</v>
      </c>
      <c r="M119" s="176" t="s">
        <v>9</v>
      </c>
      <c r="N119" s="176"/>
      <c r="O119" s="176"/>
      <c r="P119" s="33">
        <f>(I171)</f>
        <v>0</v>
      </c>
      <c r="Q119" s="33">
        <f>(J154)</f>
        <v>8193150</v>
      </c>
      <c r="R119" s="33"/>
      <c r="S119" s="33">
        <f t="shared" si="5"/>
        <v>8193150</v>
      </c>
      <c r="T119" s="33"/>
      <c r="U119" s="33">
        <f t="shared" si="6"/>
        <v>8193150</v>
      </c>
      <c r="V119" s="1"/>
      <c r="W119" s="1"/>
    </row>
    <row r="120" spans="1:23" x14ac:dyDescent="0.25">
      <c r="A120" s="106"/>
      <c r="B120" s="106"/>
      <c r="C120" s="1"/>
      <c r="D120" s="29" t="s">
        <v>11</v>
      </c>
      <c r="E120" s="34">
        <f>(K58)</f>
        <v>9788761.5</v>
      </c>
      <c r="F120" s="29"/>
      <c r="G120" s="1"/>
      <c r="H120" s="1"/>
      <c r="I120" s="6">
        <f t="shared" si="3"/>
        <v>9788761.5</v>
      </c>
      <c r="J120" s="6"/>
      <c r="K120" s="9"/>
      <c r="L120" s="124">
        <f t="shared" si="2"/>
        <v>27</v>
      </c>
      <c r="M120" s="176" t="s">
        <v>16</v>
      </c>
      <c r="N120" s="176"/>
      <c r="O120" s="176"/>
      <c r="P120" s="119"/>
      <c r="Q120" s="33">
        <f>(J96)</f>
        <v>17000000</v>
      </c>
      <c r="R120" s="33"/>
      <c r="S120" s="33">
        <f t="shared" si="5"/>
        <v>17000000</v>
      </c>
      <c r="T120" s="33"/>
      <c r="U120" s="33">
        <f t="shared" si="6"/>
        <v>17000000</v>
      </c>
      <c r="V120" s="1"/>
      <c r="W120" s="1"/>
    </row>
    <row r="121" spans="1:23" x14ac:dyDescent="0.25">
      <c r="A121" s="106"/>
      <c r="B121" s="106"/>
      <c r="C121" s="1"/>
      <c r="D121" s="56" t="s">
        <v>5</v>
      </c>
      <c r="E121" s="29"/>
      <c r="F121" s="29">
        <f>(F51)</f>
        <v>13709750</v>
      </c>
      <c r="G121" s="1"/>
      <c r="H121" s="1"/>
      <c r="I121" s="6"/>
      <c r="J121" s="6">
        <f t="shared" si="4"/>
        <v>13709750</v>
      </c>
      <c r="K121" s="9"/>
      <c r="L121" s="124">
        <f t="shared" si="2"/>
        <v>28</v>
      </c>
      <c r="M121" s="176" t="s">
        <v>17</v>
      </c>
      <c r="N121" s="176"/>
      <c r="O121" s="177"/>
      <c r="P121" s="119">
        <f>(I195)</f>
        <v>0</v>
      </c>
      <c r="Q121" s="119">
        <f>(J193)</f>
        <v>0</v>
      </c>
      <c r="R121" s="119"/>
      <c r="S121" s="119"/>
      <c r="T121" s="119"/>
      <c r="U121" s="119"/>
      <c r="V121" s="1"/>
      <c r="W121" s="1"/>
    </row>
    <row r="122" spans="1:23" x14ac:dyDescent="0.25">
      <c r="A122" s="106"/>
      <c r="B122" s="106"/>
      <c r="C122" s="1"/>
      <c r="D122" s="56" t="s">
        <v>12</v>
      </c>
      <c r="E122" s="29"/>
      <c r="F122" s="34">
        <f>(G58)</f>
        <v>2604852.5</v>
      </c>
      <c r="G122" s="1"/>
      <c r="H122" s="1"/>
      <c r="I122" s="6"/>
      <c r="J122" s="6">
        <f t="shared" si="4"/>
        <v>2604852.5</v>
      </c>
      <c r="K122" s="9"/>
      <c r="L122" s="123">
        <f t="shared" si="2"/>
        <v>29</v>
      </c>
      <c r="M122" s="173" t="s">
        <v>19</v>
      </c>
      <c r="N122" s="173"/>
      <c r="O122" s="173"/>
      <c r="P122" s="37">
        <f>(I189)</f>
        <v>0</v>
      </c>
      <c r="Q122" s="37"/>
      <c r="R122" s="37">
        <f>(P122-Q122)</f>
        <v>0</v>
      </c>
      <c r="S122" s="37"/>
      <c r="T122" s="37"/>
      <c r="U122" s="37"/>
      <c r="V122" s="37">
        <f>(R122)</f>
        <v>0</v>
      </c>
      <c r="W122" s="1"/>
    </row>
    <row r="123" spans="1:23" x14ac:dyDescent="0.25">
      <c r="A123" s="108"/>
      <c r="B123" s="108"/>
      <c r="C123" s="44"/>
      <c r="D123" s="53" t="s">
        <v>139</v>
      </c>
      <c r="E123" s="44"/>
      <c r="F123" s="79">
        <f>(E118+E119+E120-F121-F122)</f>
        <v>0</v>
      </c>
      <c r="G123" s="44"/>
      <c r="H123" s="79">
        <f>(G118+G119+G120-H121-H122)</f>
        <v>0</v>
      </c>
      <c r="I123" s="44"/>
      <c r="J123" s="79">
        <f>(I118+I119+I120-J121-J122)</f>
        <v>0</v>
      </c>
      <c r="K123" s="9"/>
      <c r="L123" s="123">
        <f t="shared" si="2"/>
        <v>30</v>
      </c>
      <c r="M123" s="173" t="s">
        <v>102</v>
      </c>
      <c r="N123" s="173"/>
      <c r="O123" s="173"/>
      <c r="P123" s="37">
        <f>(I98)</f>
        <v>0</v>
      </c>
      <c r="Q123" s="37"/>
      <c r="R123" s="37">
        <f t="shared" ref="R123:R139" si="9">(P123-Q123)</f>
        <v>0</v>
      </c>
      <c r="S123" s="37"/>
      <c r="T123" s="37"/>
      <c r="U123" s="37"/>
      <c r="V123" s="37">
        <f t="shared" ref="V123:V139" si="10">(R123)</f>
        <v>0</v>
      </c>
      <c r="W123" s="1"/>
    </row>
    <row r="124" spans="1:23" x14ac:dyDescent="0.25">
      <c r="A124" s="106" t="s">
        <v>229</v>
      </c>
      <c r="B124" s="106"/>
      <c r="C124" s="28">
        <v>43799</v>
      </c>
      <c r="D124" s="1" t="s">
        <v>142</v>
      </c>
      <c r="E124" s="6">
        <f>(E301)</f>
        <v>890000</v>
      </c>
      <c r="F124" s="1"/>
      <c r="G124" s="1"/>
      <c r="H124" s="1"/>
      <c r="I124" s="1">
        <f>(E124+G124)</f>
        <v>890000</v>
      </c>
      <c r="J124" s="1"/>
      <c r="K124" s="9"/>
      <c r="L124" s="123">
        <f t="shared" si="2"/>
        <v>31</v>
      </c>
      <c r="M124" s="173" t="s">
        <v>267</v>
      </c>
      <c r="N124" s="173"/>
      <c r="O124" s="173"/>
      <c r="P124" s="37">
        <f>(I101)</f>
        <v>590000</v>
      </c>
      <c r="Q124" s="37"/>
      <c r="R124" s="37">
        <f t="shared" si="9"/>
        <v>590000</v>
      </c>
      <c r="S124" s="37"/>
      <c r="T124" s="37"/>
      <c r="U124" s="37"/>
      <c r="V124" s="37">
        <f t="shared" si="10"/>
        <v>590000</v>
      </c>
      <c r="W124" s="1"/>
    </row>
    <row r="125" spans="1:23" x14ac:dyDescent="0.25">
      <c r="A125" s="106"/>
      <c r="B125" s="106" t="s">
        <v>237</v>
      </c>
      <c r="C125" s="28">
        <v>43829</v>
      </c>
      <c r="D125" s="1" t="s">
        <v>143</v>
      </c>
      <c r="E125" s="6">
        <f>(E302)</f>
        <v>232509.83333333331</v>
      </c>
      <c r="F125" s="1"/>
      <c r="G125" s="1"/>
      <c r="H125" s="1"/>
      <c r="I125" s="1">
        <f t="shared" ref="I125:I133" si="11">(E125+G125)</f>
        <v>232509.83333333331</v>
      </c>
      <c r="J125" s="1"/>
      <c r="K125" s="9"/>
      <c r="L125" s="123">
        <f t="shared" si="2"/>
        <v>32</v>
      </c>
      <c r="M125" s="173" t="s">
        <v>268</v>
      </c>
      <c r="N125" s="173"/>
      <c r="O125" s="173"/>
      <c r="P125" s="37">
        <f>(I147)</f>
        <v>0</v>
      </c>
      <c r="Q125" s="37"/>
      <c r="R125" s="37">
        <f t="shared" si="9"/>
        <v>0</v>
      </c>
      <c r="S125" s="37"/>
      <c r="T125" s="37"/>
      <c r="U125" s="37"/>
      <c r="V125" s="37">
        <f t="shared" si="10"/>
        <v>0</v>
      </c>
      <c r="W125" s="1"/>
    </row>
    <row r="126" spans="1:23" x14ac:dyDescent="0.25">
      <c r="A126" s="106"/>
      <c r="B126" s="106"/>
      <c r="C126" s="1"/>
      <c r="D126" s="1" t="s">
        <v>145</v>
      </c>
      <c r="E126" s="6">
        <f>(E303)</f>
        <v>152209.58900000001</v>
      </c>
      <c r="F126" s="1"/>
      <c r="G126" s="1"/>
      <c r="H126" s="1"/>
      <c r="I126" s="6">
        <f t="shared" si="11"/>
        <v>152209.58900000001</v>
      </c>
      <c r="J126" s="6"/>
      <c r="K126" s="9"/>
      <c r="L126" s="123">
        <f t="shared" si="2"/>
        <v>33</v>
      </c>
      <c r="M126" s="173" t="s">
        <v>263</v>
      </c>
      <c r="N126" s="173"/>
      <c r="O126" s="173"/>
      <c r="P126" s="37">
        <f>(I210)</f>
        <v>0</v>
      </c>
      <c r="Q126" s="37"/>
      <c r="R126" s="37">
        <f t="shared" si="9"/>
        <v>0</v>
      </c>
      <c r="S126" s="37"/>
      <c r="T126" s="37"/>
      <c r="U126" s="37"/>
      <c r="V126" s="37">
        <f t="shared" si="10"/>
        <v>0</v>
      </c>
      <c r="W126" s="1"/>
    </row>
    <row r="127" spans="1:23" x14ac:dyDescent="0.25">
      <c r="A127" s="106"/>
      <c r="B127" s="106"/>
      <c r="C127" s="1"/>
      <c r="D127" s="1" t="s">
        <v>191</v>
      </c>
      <c r="E127" s="6">
        <f>(E304)</f>
        <v>754036.25</v>
      </c>
      <c r="F127" s="1"/>
      <c r="G127" s="1"/>
      <c r="H127" s="1"/>
      <c r="I127" s="6">
        <f t="shared" si="11"/>
        <v>754036.25</v>
      </c>
      <c r="J127" s="6"/>
      <c r="K127" s="9"/>
      <c r="L127" s="123">
        <f t="shared" si="2"/>
        <v>34</v>
      </c>
      <c r="M127" s="173" t="s">
        <v>18</v>
      </c>
      <c r="N127" s="173"/>
      <c r="O127" s="173"/>
      <c r="P127" s="37">
        <f>(I106)</f>
        <v>315000</v>
      </c>
      <c r="Q127" s="37"/>
      <c r="R127" s="37">
        <f t="shared" si="9"/>
        <v>315000</v>
      </c>
      <c r="S127" s="37"/>
      <c r="T127" s="37"/>
      <c r="U127" s="37"/>
      <c r="V127" s="37">
        <f t="shared" si="10"/>
        <v>315000</v>
      </c>
      <c r="W127" s="1"/>
    </row>
    <row r="128" spans="1:23" x14ac:dyDescent="0.25">
      <c r="A128" s="106"/>
      <c r="B128" s="106"/>
      <c r="C128" s="1"/>
      <c r="D128" s="1" t="s">
        <v>273</v>
      </c>
      <c r="E128" s="6">
        <f t="shared" ref="E128:E133" si="12">(E305)</f>
        <v>0</v>
      </c>
      <c r="F128" s="1"/>
      <c r="G128" s="1"/>
      <c r="H128" s="1"/>
      <c r="I128" s="6">
        <f t="shared" si="11"/>
        <v>0</v>
      </c>
      <c r="J128" s="6"/>
      <c r="K128" s="9"/>
      <c r="L128" s="123">
        <f t="shared" si="2"/>
        <v>35</v>
      </c>
      <c r="M128" s="173" t="s">
        <v>142</v>
      </c>
      <c r="N128" s="173"/>
      <c r="O128" s="173"/>
      <c r="P128" s="37">
        <f t="shared" ref="P128:P137" si="13">(I124)</f>
        <v>890000</v>
      </c>
      <c r="Q128" s="37"/>
      <c r="R128" s="37">
        <f t="shared" si="9"/>
        <v>890000</v>
      </c>
      <c r="S128" s="37"/>
      <c r="T128" s="37"/>
      <c r="U128" s="37"/>
      <c r="V128" s="37">
        <f t="shared" si="10"/>
        <v>890000</v>
      </c>
      <c r="W128" s="1"/>
    </row>
    <row r="129" spans="1:23" x14ac:dyDescent="0.25">
      <c r="A129" s="106"/>
      <c r="B129" s="106"/>
      <c r="C129" s="1"/>
      <c r="D129" s="1" t="s">
        <v>149</v>
      </c>
      <c r="E129" s="6">
        <f t="shared" si="12"/>
        <v>60000</v>
      </c>
      <c r="F129" s="1"/>
      <c r="G129" s="1"/>
      <c r="H129" s="1"/>
      <c r="I129" s="6">
        <f t="shared" si="11"/>
        <v>60000</v>
      </c>
      <c r="J129" s="6"/>
      <c r="K129" s="9"/>
      <c r="L129" s="123">
        <f t="shared" si="2"/>
        <v>36</v>
      </c>
      <c r="M129" s="173" t="s">
        <v>269</v>
      </c>
      <c r="N129" s="173"/>
      <c r="O129" s="173"/>
      <c r="P129" s="36">
        <f t="shared" si="13"/>
        <v>232509.83333333331</v>
      </c>
      <c r="Q129" s="36"/>
      <c r="R129" s="36">
        <f t="shared" si="9"/>
        <v>232509.83333333331</v>
      </c>
      <c r="S129" s="36"/>
      <c r="T129" s="36"/>
      <c r="U129" s="36"/>
      <c r="V129" s="36">
        <f t="shared" si="10"/>
        <v>232509.83333333331</v>
      </c>
      <c r="W129" s="6"/>
    </row>
    <row r="130" spans="1:23" x14ac:dyDescent="0.25">
      <c r="A130" s="106"/>
      <c r="B130" s="106"/>
      <c r="C130" s="1"/>
      <c r="D130" s="1" t="s">
        <v>150</v>
      </c>
      <c r="E130" s="6">
        <f t="shared" si="12"/>
        <v>60000</v>
      </c>
      <c r="F130" s="1"/>
      <c r="G130" s="1"/>
      <c r="H130" s="1"/>
      <c r="I130" s="6">
        <f t="shared" si="11"/>
        <v>60000</v>
      </c>
      <c r="J130" s="6"/>
      <c r="K130" s="9"/>
      <c r="L130" s="123">
        <f t="shared" si="2"/>
        <v>37</v>
      </c>
      <c r="M130" s="173" t="s">
        <v>145</v>
      </c>
      <c r="N130" s="173"/>
      <c r="O130" s="173"/>
      <c r="P130" s="36">
        <f t="shared" si="13"/>
        <v>152209.58900000001</v>
      </c>
      <c r="Q130" s="36"/>
      <c r="R130" s="36">
        <f t="shared" si="9"/>
        <v>152209.58900000001</v>
      </c>
      <c r="S130" s="36"/>
      <c r="T130" s="36"/>
      <c r="U130" s="36"/>
      <c r="V130" s="36">
        <f t="shared" si="10"/>
        <v>152209.58900000001</v>
      </c>
      <c r="W130" s="6"/>
    </row>
    <row r="131" spans="1:23" x14ac:dyDescent="0.25">
      <c r="A131" s="106"/>
      <c r="B131" s="106"/>
      <c r="C131" s="1"/>
      <c r="D131" s="1" t="s">
        <v>197</v>
      </c>
      <c r="E131" s="6">
        <f t="shared" si="12"/>
        <v>53356.274182366666</v>
      </c>
      <c r="F131" s="1"/>
      <c r="G131" s="1"/>
      <c r="H131" s="1"/>
      <c r="I131" s="6">
        <f t="shared" si="11"/>
        <v>53356.274182366666</v>
      </c>
      <c r="J131" s="6"/>
      <c r="K131" s="9"/>
      <c r="L131" s="123">
        <f t="shared" si="2"/>
        <v>38</v>
      </c>
      <c r="M131" s="173" t="s">
        <v>191</v>
      </c>
      <c r="N131" s="173"/>
      <c r="O131" s="173"/>
      <c r="P131" s="36">
        <f t="shared" si="13"/>
        <v>754036.25</v>
      </c>
      <c r="Q131" s="36"/>
      <c r="R131" s="36">
        <f t="shared" si="9"/>
        <v>754036.25</v>
      </c>
      <c r="S131" s="36"/>
      <c r="T131" s="36"/>
      <c r="U131" s="36"/>
      <c r="V131" s="36">
        <f t="shared" si="10"/>
        <v>754036.25</v>
      </c>
      <c r="W131" s="6"/>
    </row>
    <row r="132" spans="1:23" x14ac:dyDescent="0.25">
      <c r="A132" s="106"/>
      <c r="B132" s="106"/>
      <c r="C132" s="1"/>
      <c r="D132" s="1" t="s">
        <v>198</v>
      </c>
      <c r="E132" s="6">
        <f t="shared" si="12"/>
        <v>31039.961786700002</v>
      </c>
      <c r="F132" s="1"/>
      <c r="G132" s="1"/>
      <c r="H132" s="1"/>
      <c r="I132" s="6">
        <f t="shared" si="11"/>
        <v>31039.961786700002</v>
      </c>
      <c r="J132" s="6"/>
      <c r="K132" s="9"/>
      <c r="L132" s="123">
        <f t="shared" si="2"/>
        <v>39</v>
      </c>
      <c r="M132" s="173" t="s">
        <v>270</v>
      </c>
      <c r="N132" s="173"/>
      <c r="O132" s="173"/>
      <c r="P132" s="36">
        <f t="shared" si="13"/>
        <v>0</v>
      </c>
      <c r="Q132" s="36"/>
      <c r="R132" s="36">
        <f t="shared" si="9"/>
        <v>0</v>
      </c>
      <c r="S132" s="36"/>
      <c r="T132" s="36"/>
      <c r="U132" s="36"/>
      <c r="V132" s="36">
        <f t="shared" si="10"/>
        <v>0</v>
      </c>
      <c r="W132" s="6"/>
    </row>
    <row r="133" spans="1:23" x14ac:dyDescent="0.25">
      <c r="A133" s="106"/>
      <c r="B133" s="106"/>
      <c r="C133" s="1"/>
      <c r="D133" s="1" t="s">
        <v>199</v>
      </c>
      <c r="E133" s="6">
        <f t="shared" si="12"/>
        <v>52091.048462000006</v>
      </c>
      <c r="F133" s="1"/>
      <c r="G133" s="1"/>
      <c r="H133" s="1"/>
      <c r="I133" s="6">
        <f t="shared" si="11"/>
        <v>52091.048462000006</v>
      </c>
      <c r="J133" s="6"/>
      <c r="K133" s="9"/>
      <c r="L133" s="123">
        <f t="shared" si="2"/>
        <v>40</v>
      </c>
      <c r="M133" s="173" t="s">
        <v>149</v>
      </c>
      <c r="N133" s="173"/>
      <c r="O133" s="173"/>
      <c r="P133" s="36">
        <f t="shared" si="13"/>
        <v>60000</v>
      </c>
      <c r="Q133" s="36"/>
      <c r="R133" s="36">
        <f t="shared" si="9"/>
        <v>60000</v>
      </c>
      <c r="S133" s="36"/>
      <c r="T133" s="36"/>
      <c r="U133" s="36"/>
      <c r="V133" s="36">
        <f t="shared" si="10"/>
        <v>60000</v>
      </c>
      <c r="W133" s="6"/>
    </row>
    <row r="134" spans="1:23" x14ac:dyDescent="0.25">
      <c r="A134" s="106"/>
      <c r="B134" s="106"/>
      <c r="C134" s="1"/>
      <c r="D134" s="54" t="s">
        <v>65</v>
      </c>
      <c r="E134" s="1"/>
      <c r="F134" s="6">
        <f>(F311)</f>
        <v>167391.78092766667</v>
      </c>
      <c r="G134" s="1"/>
      <c r="H134" s="1"/>
      <c r="I134" s="6"/>
      <c r="J134" s="6">
        <f>(F134+H134)</f>
        <v>167391.78092766667</v>
      </c>
      <c r="K134" s="9"/>
      <c r="L134" s="123">
        <f t="shared" si="2"/>
        <v>41</v>
      </c>
      <c r="M134" s="173" t="s">
        <v>150</v>
      </c>
      <c r="N134" s="173"/>
      <c r="O134" s="173"/>
      <c r="P134" s="36">
        <f t="shared" si="13"/>
        <v>60000</v>
      </c>
      <c r="Q134" s="36"/>
      <c r="R134" s="36">
        <f t="shared" si="9"/>
        <v>60000</v>
      </c>
      <c r="S134" s="36"/>
      <c r="T134" s="36"/>
      <c r="U134" s="36"/>
      <c r="V134" s="36">
        <f t="shared" si="10"/>
        <v>60000</v>
      </c>
      <c r="W134" s="6"/>
    </row>
    <row r="135" spans="1:23" x14ac:dyDescent="0.25">
      <c r="A135" s="106"/>
      <c r="B135" s="106"/>
      <c r="C135" s="1"/>
      <c r="D135" s="54" t="s">
        <v>193</v>
      </c>
      <c r="E135" s="1"/>
      <c r="F135" s="6">
        <f t="shared" ref="F135:F144" si="14">(F312)</f>
        <v>63880.469856700001</v>
      </c>
      <c r="G135" s="1"/>
      <c r="H135" s="1"/>
      <c r="I135" s="6"/>
      <c r="J135" s="6">
        <f t="shared" ref="J135:J144" si="15">(F135+H135)</f>
        <v>63880.469856700001</v>
      </c>
      <c r="K135" s="9"/>
      <c r="L135" s="123">
        <f t="shared" si="2"/>
        <v>42</v>
      </c>
      <c r="M135" s="173" t="s">
        <v>271</v>
      </c>
      <c r="N135" s="173"/>
      <c r="O135" s="173"/>
      <c r="P135" s="36">
        <f t="shared" si="13"/>
        <v>53356.274182366666</v>
      </c>
      <c r="Q135" s="36"/>
      <c r="R135" s="36">
        <f t="shared" si="9"/>
        <v>53356.274182366666</v>
      </c>
      <c r="S135" s="36"/>
      <c r="T135" s="36"/>
      <c r="U135" s="36"/>
      <c r="V135" s="36">
        <f t="shared" si="10"/>
        <v>53356.274182366666</v>
      </c>
      <c r="W135" s="6"/>
    </row>
    <row r="136" spans="1:23" x14ac:dyDescent="0.25">
      <c r="A136" s="106"/>
      <c r="B136" s="106"/>
      <c r="C136" s="1"/>
      <c r="D136" s="54" t="s">
        <v>194</v>
      </c>
      <c r="E136" s="1"/>
      <c r="F136" s="6">
        <f t="shared" si="14"/>
        <v>39677.310470000004</v>
      </c>
      <c r="G136" s="1"/>
      <c r="H136" s="1"/>
      <c r="I136" s="6"/>
      <c r="J136" s="6">
        <f t="shared" si="15"/>
        <v>39677.310470000004</v>
      </c>
      <c r="K136" s="9"/>
      <c r="L136" s="123">
        <f t="shared" si="2"/>
        <v>43</v>
      </c>
      <c r="M136" s="174" t="s">
        <v>198</v>
      </c>
      <c r="N136" s="174"/>
      <c r="O136" s="174"/>
      <c r="P136" s="36">
        <f t="shared" si="13"/>
        <v>31039.961786700002</v>
      </c>
      <c r="Q136" s="36"/>
      <c r="R136" s="36">
        <f t="shared" si="9"/>
        <v>31039.961786700002</v>
      </c>
      <c r="S136" s="36"/>
      <c r="T136" s="36"/>
      <c r="U136" s="36"/>
      <c r="V136" s="36">
        <f t="shared" si="10"/>
        <v>31039.961786700002</v>
      </c>
      <c r="W136" s="6"/>
    </row>
    <row r="137" spans="1:23" x14ac:dyDescent="0.25">
      <c r="A137" s="106"/>
      <c r="B137" s="106"/>
      <c r="C137" s="1"/>
      <c r="D137" s="54" t="s">
        <v>154</v>
      </c>
      <c r="E137" s="1"/>
      <c r="F137" s="6">
        <f t="shared" si="14"/>
        <v>102335.58659333334</v>
      </c>
      <c r="G137" s="1"/>
      <c r="H137" s="1"/>
      <c r="I137" s="6"/>
      <c r="J137" s="6">
        <f t="shared" si="15"/>
        <v>102335.58659333334</v>
      </c>
      <c r="K137" s="9"/>
      <c r="L137" s="123">
        <f t="shared" si="2"/>
        <v>44</v>
      </c>
      <c r="M137" s="174" t="s">
        <v>272</v>
      </c>
      <c r="N137" s="174"/>
      <c r="O137" s="174"/>
      <c r="P137" s="36">
        <f t="shared" si="13"/>
        <v>52091.048462000006</v>
      </c>
      <c r="Q137" s="36"/>
      <c r="R137" s="36">
        <f t="shared" si="9"/>
        <v>52091.048462000006</v>
      </c>
      <c r="S137" s="36"/>
      <c r="T137" s="36"/>
      <c r="U137" s="36"/>
      <c r="V137" s="36">
        <f t="shared" si="10"/>
        <v>52091.048462000006</v>
      </c>
      <c r="W137" s="6"/>
    </row>
    <row r="138" spans="1:23" x14ac:dyDescent="0.25">
      <c r="A138" s="106"/>
      <c r="B138" s="106"/>
      <c r="C138" s="1"/>
      <c r="D138" s="54" t="s">
        <v>203</v>
      </c>
      <c r="E138" s="1"/>
      <c r="F138" s="6">
        <f t="shared" si="14"/>
        <v>8771.6217080000006</v>
      </c>
      <c r="G138" s="1"/>
      <c r="H138" s="1"/>
      <c r="I138" s="6"/>
      <c r="J138" s="6">
        <f t="shared" si="15"/>
        <v>8771.6217080000006</v>
      </c>
      <c r="K138" s="9"/>
      <c r="L138" s="123">
        <f t="shared" si="2"/>
        <v>45</v>
      </c>
      <c r="M138" s="174" t="s">
        <v>20</v>
      </c>
      <c r="N138" s="174"/>
      <c r="O138" s="174"/>
      <c r="P138" s="36">
        <f>(I206)</f>
        <v>0</v>
      </c>
      <c r="Q138" s="36"/>
      <c r="R138" s="36">
        <f t="shared" si="9"/>
        <v>0</v>
      </c>
      <c r="S138" s="36"/>
      <c r="T138" s="36"/>
      <c r="U138" s="36"/>
      <c r="V138" s="36">
        <f t="shared" si="10"/>
        <v>0</v>
      </c>
      <c r="W138" s="6"/>
    </row>
    <row r="139" spans="1:23" x14ac:dyDescent="0.25">
      <c r="A139" s="106"/>
      <c r="B139" s="106"/>
      <c r="C139" s="1"/>
      <c r="D139" s="54" t="s">
        <v>211</v>
      </c>
      <c r="E139" s="1"/>
      <c r="F139" s="6">
        <f t="shared" si="14"/>
        <v>53356.274182366666</v>
      </c>
      <c r="G139" s="1"/>
      <c r="H139" s="1"/>
      <c r="I139" s="6"/>
      <c r="J139" s="6">
        <f t="shared" si="15"/>
        <v>53356.274182366666</v>
      </c>
      <c r="K139" s="9"/>
      <c r="L139" s="123">
        <f t="shared" si="2"/>
        <v>46</v>
      </c>
      <c r="M139" s="174" t="s">
        <v>21</v>
      </c>
      <c r="N139" s="174"/>
      <c r="O139" s="174"/>
      <c r="P139" s="36">
        <f>(I192)</f>
        <v>0</v>
      </c>
      <c r="Q139" s="36">
        <f>(J196+J200)</f>
        <v>0</v>
      </c>
      <c r="R139" s="36">
        <f t="shared" si="9"/>
        <v>0</v>
      </c>
      <c r="S139" s="36"/>
      <c r="T139" s="36"/>
      <c r="U139" s="36"/>
      <c r="V139" s="36">
        <f t="shared" si="10"/>
        <v>0</v>
      </c>
      <c r="W139" s="6"/>
    </row>
    <row r="140" spans="1:23" x14ac:dyDescent="0.25">
      <c r="A140" s="106"/>
      <c r="B140" s="106"/>
      <c r="C140" s="1"/>
      <c r="D140" s="54" t="s">
        <v>196</v>
      </c>
      <c r="E140" s="1"/>
      <c r="F140" s="6">
        <f t="shared" si="14"/>
        <v>20753.858484173332</v>
      </c>
      <c r="G140" s="1"/>
      <c r="H140" s="1"/>
      <c r="I140" s="6"/>
      <c r="J140" s="6">
        <f t="shared" si="15"/>
        <v>20753.858484173332</v>
      </c>
      <c r="K140" s="9"/>
      <c r="L140" s="124">
        <f t="shared" si="2"/>
        <v>47</v>
      </c>
      <c r="M140" s="175" t="s">
        <v>5</v>
      </c>
      <c r="N140" s="175"/>
      <c r="O140" s="175"/>
      <c r="P140" s="47"/>
      <c r="Q140" s="47">
        <f>(J121)</f>
        <v>13709750</v>
      </c>
      <c r="R140" s="47"/>
      <c r="S140" s="47">
        <f>(Q140-P140)</f>
        <v>13709750</v>
      </c>
      <c r="T140" s="47"/>
      <c r="U140" s="47"/>
      <c r="V140" s="47"/>
      <c r="W140" s="47">
        <f>(S140)</f>
        <v>13709750</v>
      </c>
    </row>
    <row r="141" spans="1:23" x14ac:dyDescent="0.25">
      <c r="A141" s="106"/>
      <c r="B141" s="106"/>
      <c r="C141" s="1"/>
      <c r="D141" s="54" t="s">
        <v>201</v>
      </c>
      <c r="E141" s="1"/>
      <c r="F141" s="6">
        <f t="shared" si="14"/>
        <v>31039.961786700002</v>
      </c>
      <c r="G141" s="1"/>
      <c r="H141" s="1"/>
      <c r="I141" s="6"/>
      <c r="J141" s="6">
        <f t="shared" si="15"/>
        <v>31039.961786700002</v>
      </c>
      <c r="K141" s="9"/>
      <c r="L141" s="9"/>
      <c r="M141" s="170"/>
      <c r="N141" s="170"/>
      <c r="O141" s="170"/>
      <c r="P141" s="6"/>
      <c r="Q141" s="6"/>
      <c r="R141" s="6"/>
      <c r="S141" s="6"/>
      <c r="T141" s="6"/>
      <c r="U141" s="6"/>
      <c r="V141" s="6"/>
      <c r="W141" s="6"/>
    </row>
    <row r="142" spans="1:23" x14ac:dyDescent="0.25">
      <c r="A142" s="106"/>
      <c r="B142" s="106"/>
      <c r="C142" s="1"/>
      <c r="D142" s="54" t="s">
        <v>202</v>
      </c>
      <c r="E142" s="1"/>
      <c r="F142" s="6">
        <f t="shared" si="14"/>
        <v>52091.048462000006</v>
      </c>
      <c r="G142" s="1"/>
      <c r="H142" s="1"/>
      <c r="I142" s="6"/>
      <c r="J142" s="6">
        <f t="shared" si="15"/>
        <v>52091.048462000006</v>
      </c>
      <c r="K142" s="9"/>
      <c r="L142" s="9"/>
      <c r="M142" s="170" t="s">
        <v>34</v>
      </c>
      <c r="N142" s="170"/>
      <c r="O142" s="170"/>
      <c r="P142" s="6">
        <f>SUM(P94:P141)</f>
        <v>66677725.456764407</v>
      </c>
      <c r="Q142" s="6">
        <f>SUM(Q94:Q141)</f>
        <v>66677725.4567644</v>
      </c>
      <c r="R142" s="6">
        <f t="shared" ref="R142:W142" si="16">SUM(R94:R141)</f>
        <v>46056465.412470944</v>
      </c>
      <c r="S142" s="6">
        <f t="shared" si="16"/>
        <v>46056465.412470937</v>
      </c>
      <c r="T142" s="6">
        <f t="shared" si="16"/>
        <v>42866222.455706537</v>
      </c>
      <c r="U142" s="6">
        <f t="shared" si="16"/>
        <v>32346715.412470941</v>
      </c>
      <c r="V142" s="6">
        <f t="shared" si="16"/>
        <v>3190242.9567644</v>
      </c>
      <c r="W142" s="6">
        <f t="shared" si="16"/>
        <v>13709750</v>
      </c>
    </row>
    <row r="143" spans="1:23" x14ac:dyDescent="0.25">
      <c r="A143" s="106"/>
      <c r="B143" s="106"/>
      <c r="C143" s="1"/>
      <c r="D143" s="54" t="s">
        <v>232</v>
      </c>
      <c r="E143" s="1"/>
      <c r="F143" s="6">
        <f t="shared" si="14"/>
        <v>550000</v>
      </c>
      <c r="G143" s="1"/>
      <c r="H143" s="1"/>
      <c r="I143" s="6"/>
      <c r="J143" s="6">
        <f t="shared" si="15"/>
        <v>550000</v>
      </c>
      <c r="K143" s="9"/>
      <c r="L143" s="9"/>
      <c r="M143" s="170" t="s">
        <v>274</v>
      </c>
      <c r="N143" s="170"/>
      <c r="O143" s="170"/>
      <c r="P143" s="6"/>
      <c r="Q143" s="6"/>
      <c r="R143" s="6"/>
      <c r="S143" s="6"/>
      <c r="T143" s="6"/>
      <c r="U143" s="6">
        <f>(T142-U142)</f>
        <v>10519507.043235596</v>
      </c>
      <c r="V143" s="6">
        <f>(W142-V142)</f>
        <v>10519507.0432356</v>
      </c>
      <c r="W143" s="6"/>
    </row>
    <row r="144" spans="1:23" x14ac:dyDescent="0.25">
      <c r="A144" s="106"/>
      <c r="B144" s="106"/>
      <c r="C144" s="1"/>
      <c r="D144" s="54" t="s">
        <v>2</v>
      </c>
      <c r="E144" s="1"/>
      <c r="F144" s="6">
        <f t="shared" si="14"/>
        <v>1195945.04429346</v>
      </c>
      <c r="G144" s="1"/>
      <c r="H144" s="1"/>
      <c r="I144" s="6"/>
      <c r="J144" s="6">
        <f t="shared" si="15"/>
        <v>1195945.04429346</v>
      </c>
      <c r="K144" s="9"/>
      <c r="L144" s="9"/>
      <c r="M144" s="170" t="s">
        <v>35</v>
      </c>
      <c r="N144" s="170"/>
      <c r="O144" s="170"/>
      <c r="P144" s="6">
        <f>(P142+P143)</f>
        <v>66677725.456764407</v>
      </c>
      <c r="Q144" s="6">
        <f t="shared" ref="Q144:W144" si="17">(Q142+Q143)</f>
        <v>66677725.4567644</v>
      </c>
      <c r="R144" s="6">
        <f t="shared" si="17"/>
        <v>46056465.412470944</v>
      </c>
      <c r="S144" s="6">
        <f t="shared" si="17"/>
        <v>46056465.412470937</v>
      </c>
      <c r="T144" s="6">
        <f t="shared" si="17"/>
        <v>42866222.455706537</v>
      </c>
      <c r="U144" s="6">
        <f t="shared" si="17"/>
        <v>42866222.455706537</v>
      </c>
      <c r="V144" s="6">
        <f t="shared" si="17"/>
        <v>13709750</v>
      </c>
      <c r="W144" s="6">
        <f t="shared" si="17"/>
        <v>13709750</v>
      </c>
    </row>
    <row r="145" spans="1:23" x14ac:dyDescent="0.25">
      <c r="A145" s="108"/>
      <c r="B145" s="108"/>
      <c r="C145" s="44"/>
      <c r="D145" s="53" t="s">
        <v>212</v>
      </c>
      <c r="E145" s="78">
        <f>SUM(E124:E144)</f>
        <v>2285242.9567644</v>
      </c>
      <c r="F145" s="78">
        <f>SUM(F124:F144)</f>
        <v>2285242.9567644</v>
      </c>
      <c r="G145" s="44"/>
      <c r="H145" s="44"/>
      <c r="I145" s="79"/>
      <c r="J145" s="79">
        <f>(I124+I125+I126+I127+I128+I129+I130+I131+I132+I133-J134-J135-J136-J137-J138-J139-J140-J141-J142-J143-J144)</f>
        <v>2.3283064365386963E-10</v>
      </c>
      <c r="K145" s="9"/>
      <c r="L145" s="9"/>
      <c r="P145" s="4"/>
      <c r="Q145" s="4"/>
      <c r="R145" s="4"/>
      <c r="S145" s="4"/>
      <c r="T145" s="4"/>
      <c r="U145" s="4"/>
      <c r="V145" s="4"/>
      <c r="W145" s="4"/>
    </row>
    <row r="146" spans="1:23" x14ac:dyDescent="0.25">
      <c r="A146" s="106" t="s">
        <v>234</v>
      </c>
      <c r="B146" s="106"/>
      <c r="C146" s="28">
        <v>43771</v>
      </c>
      <c r="D146" s="29" t="s">
        <v>7</v>
      </c>
      <c r="E146" s="34"/>
      <c r="F146" s="29"/>
      <c r="G146" s="29"/>
      <c r="H146" s="29"/>
      <c r="I146" s="1">
        <f t="shared" si="3"/>
        <v>0</v>
      </c>
      <c r="J146" s="1"/>
      <c r="K146" s="9"/>
      <c r="L146" s="9"/>
      <c r="P146" s="4"/>
      <c r="Q146" s="4">
        <f>(P142-Q142)</f>
        <v>7.4505805969238281E-9</v>
      </c>
      <c r="R146" s="4"/>
      <c r="S146" s="4">
        <f>(R142-S142)</f>
        <v>7.4505805969238281E-9</v>
      </c>
      <c r="T146" s="4"/>
      <c r="U146" s="4"/>
      <c r="V146" s="4">
        <f>(U143-V143)</f>
        <v>-3.7252902984619141E-9</v>
      </c>
      <c r="W146" s="4"/>
    </row>
    <row r="147" spans="1:23" x14ac:dyDescent="0.25">
      <c r="A147" s="106" t="s">
        <v>110</v>
      </c>
      <c r="B147" s="106"/>
      <c r="C147" s="28">
        <v>43799</v>
      </c>
      <c r="D147" s="29" t="s">
        <v>46</v>
      </c>
      <c r="E147" s="34"/>
      <c r="F147" s="29"/>
      <c r="G147" s="29"/>
      <c r="H147" s="29"/>
      <c r="I147" s="1">
        <f t="shared" si="3"/>
        <v>0</v>
      </c>
      <c r="J147" s="1"/>
      <c r="K147" s="9"/>
      <c r="L147" s="9"/>
    </row>
    <row r="148" spans="1:23" x14ac:dyDescent="0.25">
      <c r="A148" s="106"/>
      <c r="B148" s="106" t="s">
        <v>233</v>
      </c>
      <c r="C148" s="28">
        <v>43803</v>
      </c>
      <c r="D148" s="29" t="s">
        <v>6</v>
      </c>
      <c r="E148" s="34">
        <f>(F24)</f>
        <v>8352000</v>
      </c>
      <c r="F148" s="29"/>
      <c r="G148" s="29"/>
      <c r="H148" s="29"/>
      <c r="I148" s="1">
        <f t="shared" si="3"/>
        <v>8352000</v>
      </c>
      <c r="J148" s="1"/>
      <c r="K148" s="9"/>
      <c r="L148" s="9"/>
    </row>
    <row r="149" spans="1:23" x14ac:dyDescent="0.25">
      <c r="A149" s="106"/>
      <c r="B149" s="106" t="s">
        <v>231</v>
      </c>
      <c r="C149" s="28">
        <v>43815</v>
      </c>
      <c r="D149" s="75" t="s">
        <v>13</v>
      </c>
      <c r="E149" s="34">
        <f>(F25)</f>
        <v>8100000</v>
      </c>
      <c r="F149" s="29"/>
      <c r="G149" s="29"/>
      <c r="H149" s="29"/>
      <c r="I149" s="1">
        <f t="shared" si="3"/>
        <v>8100000</v>
      </c>
      <c r="J149" s="1"/>
      <c r="K149" s="9"/>
      <c r="L149" s="9"/>
    </row>
    <row r="150" spans="1:23" x14ac:dyDescent="0.25">
      <c r="A150" s="106"/>
      <c r="B150" s="106" t="s">
        <v>235</v>
      </c>
      <c r="C150" s="28">
        <v>43817</v>
      </c>
      <c r="D150" s="75" t="s">
        <v>10</v>
      </c>
      <c r="E150" s="34">
        <f>(G26)</f>
        <v>3125880</v>
      </c>
      <c r="F150" s="29"/>
      <c r="G150" s="29"/>
      <c r="H150" s="29"/>
      <c r="I150" s="6">
        <f t="shared" si="3"/>
        <v>3125880</v>
      </c>
      <c r="J150" s="6"/>
      <c r="K150" s="9"/>
      <c r="L150" s="9"/>
    </row>
    <row r="151" spans="1:23" x14ac:dyDescent="0.25">
      <c r="A151" s="106"/>
      <c r="B151" s="106"/>
      <c r="C151" s="1"/>
      <c r="D151" s="56" t="s">
        <v>2</v>
      </c>
      <c r="E151" s="34"/>
      <c r="F151" s="34">
        <f>(J26)</f>
        <v>7409178</v>
      </c>
      <c r="G151" s="29"/>
      <c r="H151" s="29"/>
      <c r="I151" s="6"/>
      <c r="J151" s="6">
        <f t="shared" si="4"/>
        <v>7409178</v>
      </c>
      <c r="K151" s="9"/>
      <c r="L151" s="9"/>
    </row>
    <row r="152" spans="1:23" x14ac:dyDescent="0.25">
      <c r="A152" s="106"/>
      <c r="B152" s="106"/>
      <c r="C152" s="1"/>
      <c r="D152" s="56" t="s">
        <v>215</v>
      </c>
      <c r="E152" s="34"/>
      <c r="F152" s="34">
        <v>0</v>
      </c>
      <c r="G152" s="29"/>
      <c r="H152" s="29"/>
      <c r="I152" s="6"/>
      <c r="J152" s="6">
        <f t="shared" si="4"/>
        <v>0</v>
      </c>
      <c r="K152" s="9"/>
      <c r="L152" s="9"/>
    </row>
    <row r="153" spans="1:23" x14ac:dyDescent="0.25">
      <c r="A153" s="106"/>
      <c r="B153" s="106"/>
      <c r="C153" s="1"/>
      <c r="D153" s="56" t="s">
        <v>217</v>
      </c>
      <c r="E153" s="34"/>
      <c r="F153" s="34">
        <f>(K24)</f>
        <v>3975552</v>
      </c>
      <c r="G153" s="29"/>
      <c r="H153" s="29"/>
      <c r="I153" s="6"/>
      <c r="J153" s="6">
        <f t="shared" si="4"/>
        <v>3975552</v>
      </c>
      <c r="K153" s="9"/>
      <c r="L153" s="9"/>
    </row>
    <row r="154" spans="1:23" x14ac:dyDescent="0.25">
      <c r="A154" s="106"/>
      <c r="B154" s="106"/>
      <c r="C154" s="1"/>
      <c r="D154" s="56" t="s">
        <v>9</v>
      </c>
      <c r="E154" s="29"/>
      <c r="F154" s="34">
        <f>(K25+L25+M25)</f>
        <v>8193150</v>
      </c>
      <c r="G154" s="29"/>
      <c r="H154" s="29"/>
      <c r="I154" s="1"/>
      <c r="J154" s="1">
        <f t="shared" si="4"/>
        <v>8193150</v>
      </c>
      <c r="K154" s="9"/>
      <c r="L154" s="9"/>
    </row>
    <row r="155" spans="1:23" x14ac:dyDescent="0.25">
      <c r="A155" s="108"/>
      <c r="B155" s="108"/>
      <c r="C155" s="44"/>
      <c r="D155" s="53" t="s">
        <v>111</v>
      </c>
      <c r="E155" s="44"/>
      <c r="F155" s="79">
        <f>(E146+E147+E148+E149+E150-F151-F152-F153-F154)</f>
        <v>0</v>
      </c>
      <c r="G155" s="44"/>
      <c r="H155" s="79">
        <f>(G146+G147+G148+G149+G150-H151-H152-H153-H154)</f>
        <v>0</v>
      </c>
      <c r="I155" s="44"/>
      <c r="J155" s="79">
        <f>(I146+I147+I148+I149+I150-J151-J152-J153-J154)</f>
        <v>0</v>
      </c>
      <c r="K155" s="9"/>
      <c r="L155" s="9"/>
    </row>
    <row r="156" spans="1:23" x14ac:dyDescent="0.25">
      <c r="A156" s="106" t="s">
        <v>231</v>
      </c>
      <c r="B156" s="109"/>
      <c r="C156" s="31">
        <v>43799</v>
      </c>
      <c r="D156" s="75" t="s">
        <v>215</v>
      </c>
      <c r="E156" s="75">
        <v>5000000</v>
      </c>
      <c r="F156" s="76"/>
      <c r="G156" s="75"/>
      <c r="H156" s="76"/>
      <c r="I156" s="1">
        <f>(E156+G156)</f>
        <v>5000000</v>
      </c>
      <c r="J156" s="1"/>
      <c r="K156" s="9"/>
      <c r="L156" s="9"/>
    </row>
    <row r="157" spans="1:23" x14ac:dyDescent="0.25">
      <c r="A157" s="106"/>
      <c r="B157" s="109"/>
      <c r="C157" s="29"/>
      <c r="D157" s="56" t="s">
        <v>2</v>
      </c>
      <c r="E157" s="56"/>
      <c r="F157" s="77">
        <v>5000000</v>
      </c>
      <c r="G157" s="56"/>
      <c r="H157" s="77"/>
      <c r="I157" s="1"/>
      <c r="J157" s="6">
        <f>(F157+H157)</f>
        <v>5000000</v>
      </c>
      <c r="K157" s="9"/>
      <c r="L157" s="9"/>
    </row>
    <row r="158" spans="1:23" x14ac:dyDescent="0.25">
      <c r="A158" s="108"/>
      <c r="B158" s="108"/>
      <c r="C158" s="44"/>
      <c r="D158" s="53" t="s">
        <v>216</v>
      </c>
      <c r="E158" s="44"/>
      <c r="F158" s="79"/>
      <c r="G158" s="44"/>
      <c r="H158" s="79"/>
      <c r="I158" s="44"/>
      <c r="J158" s="79"/>
      <c r="K158" s="9"/>
      <c r="L158" s="9"/>
    </row>
    <row r="159" spans="1:23" x14ac:dyDescent="0.25">
      <c r="A159" s="106"/>
      <c r="B159" s="110"/>
      <c r="C159" s="71"/>
      <c r="D159" s="71" t="s">
        <v>222</v>
      </c>
      <c r="E159" s="70">
        <f>(E95+E98+E101+E102+E106+E111+E115+E118+E119+E120+E124+E125+E126+E127+E128+E129+E130+E131+E132+E133+E146+E147+E148+E149+E150+E156)</f>
        <v>66382725.456764407</v>
      </c>
      <c r="F159" s="70">
        <f>(F96+F99+F103+F104+F107+F108+F109+F113+F116+F121+F122+F134+F135+F136+F137+F138+F139+F140+F141+F142+F143+F144+F151+F152+F153+F154+F157)</f>
        <v>66382725.4567644</v>
      </c>
      <c r="G159" s="70">
        <f>(G95+G98+G101+G102+G106+G111+G115+G118+G119+G120+G124+G125+G126+G127+G128+G129+G130+G131+G132+G133+G146+G147+G148+G149+G150+G156)</f>
        <v>295000</v>
      </c>
      <c r="H159" s="70">
        <f>(H96+H99+H103+H104+H107+H108+H109+H113+H116+H121+H122+H134+H135+H136+H137+H138+H139+H140+H141+H142+H143+H144+H151+H152+H153+H154+H157)</f>
        <v>295000</v>
      </c>
      <c r="I159" s="70">
        <f>(I95+I98+I101+I102+I106+I111+I115+I118+I119+I120+I124+I125+I126+I127+I128+I129+I130+I131+I132+I133+I146+I147+I148+I149+I150+I156)</f>
        <v>66677725.456764407</v>
      </c>
      <c r="J159" s="70">
        <f>(J96+J99+J103+J104+J107+J108+J109+J113+J116+J121+J122+J134+J135+J136+J137+J138+J139+J140+J141+J142+J143+J144+J151+J152+J153+J154+J157)</f>
        <v>66677725.4567644</v>
      </c>
      <c r="K159" s="9"/>
      <c r="L159" s="9"/>
    </row>
    <row r="160" spans="1:23" x14ac:dyDescent="0.25">
      <c r="A160" s="106"/>
      <c r="B160" s="106" t="s">
        <v>227</v>
      </c>
      <c r="C160" s="28">
        <v>43811</v>
      </c>
      <c r="D160" s="127" t="s">
        <v>65</v>
      </c>
      <c r="E160" s="6"/>
      <c r="F160" s="6"/>
      <c r="G160" s="6"/>
      <c r="H160" s="6"/>
      <c r="I160" s="6">
        <f>(E160+G160)</f>
        <v>0</v>
      </c>
      <c r="J160" s="6"/>
      <c r="K160" s="9"/>
      <c r="L160" s="9"/>
    </row>
    <row r="161" spans="1:12" x14ac:dyDescent="0.25">
      <c r="A161" s="106"/>
      <c r="B161" s="106"/>
      <c r="C161" s="1"/>
      <c r="D161" s="127" t="s">
        <v>193</v>
      </c>
      <c r="E161" s="6"/>
      <c r="F161" s="6"/>
      <c r="G161" s="6"/>
      <c r="H161" s="6"/>
      <c r="I161" s="6">
        <f t="shared" ref="I161:I167" si="18">(E161+G161)</f>
        <v>0</v>
      </c>
      <c r="J161" s="6"/>
      <c r="K161" s="9"/>
      <c r="L161" s="9"/>
    </row>
    <row r="162" spans="1:12" x14ac:dyDescent="0.25">
      <c r="A162" s="106"/>
      <c r="B162" s="106"/>
      <c r="C162" s="1"/>
      <c r="D162" s="127" t="s">
        <v>194</v>
      </c>
      <c r="E162" s="6"/>
      <c r="F162" s="6"/>
      <c r="G162" s="6"/>
      <c r="H162" s="6"/>
      <c r="I162" s="6">
        <f t="shared" si="18"/>
        <v>0</v>
      </c>
      <c r="J162" s="6"/>
      <c r="K162" s="9"/>
      <c r="L162" s="9"/>
    </row>
    <row r="163" spans="1:12" x14ac:dyDescent="0.25">
      <c r="A163" s="106"/>
      <c r="B163" s="106"/>
      <c r="C163" s="1"/>
      <c r="D163" s="127" t="s">
        <v>154</v>
      </c>
      <c r="E163" s="6"/>
      <c r="F163" s="6"/>
      <c r="G163" s="6"/>
      <c r="H163" s="6"/>
      <c r="I163" s="6">
        <f t="shared" si="18"/>
        <v>0</v>
      </c>
      <c r="J163" s="6"/>
      <c r="K163" s="9"/>
      <c r="L163" s="9"/>
    </row>
    <row r="164" spans="1:12" x14ac:dyDescent="0.25">
      <c r="A164" s="106"/>
      <c r="B164" s="106"/>
      <c r="C164" s="1"/>
      <c r="D164" s="127" t="s">
        <v>203</v>
      </c>
      <c r="E164" s="6"/>
      <c r="F164" s="6"/>
      <c r="G164" s="6"/>
      <c r="H164" s="6"/>
      <c r="I164" s="6">
        <f t="shared" si="18"/>
        <v>0</v>
      </c>
      <c r="J164" s="6"/>
      <c r="K164" s="9"/>
      <c r="L164" s="9"/>
    </row>
    <row r="165" spans="1:12" x14ac:dyDescent="0.25">
      <c r="A165" s="106"/>
      <c r="B165" s="106"/>
      <c r="C165" s="1"/>
      <c r="D165" s="127" t="s">
        <v>211</v>
      </c>
      <c r="E165" s="6"/>
      <c r="F165" s="6"/>
      <c r="G165" s="6"/>
      <c r="H165" s="6"/>
      <c r="I165" s="6">
        <f t="shared" si="18"/>
        <v>0</v>
      </c>
      <c r="J165" s="6"/>
      <c r="K165" s="9"/>
      <c r="L165" s="9"/>
    </row>
    <row r="166" spans="1:12" x14ac:dyDescent="0.25">
      <c r="A166" s="106"/>
      <c r="B166" s="106"/>
      <c r="C166" s="1"/>
      <c r="D166" s="127" t="s">
        <v>201</v>
      </c>
      <c r="E166" s="6"/>
      <c r="F166" s="6"/>
      <c r="G166" s="6"/>
      <c r="H166" s="6"/>
      <c r="I166" s="6">
        <f t="shared" si="18"/>
        <v>0</v>
      </c>
      <c r="J166" s="6"/>
      <c r="K166" s="9"/>
      <c r="L166" s="9"/>
    </row>
    <row r="167" spans="1:12" x14ac:dyDescent="0.25">
      <c r="A167" s="106"/>
      <c r="B167" s="106"/>
      <c r="C167" s="1"/>
      <c r="D167" s="127" t="s">
        <v>202</v>
      </c>
      <c r="E167" s="6"/>
      <c r="F167" s="6"/>
      <c r="G167" s="6"/>
      <c r="H167" s="6"/>
      <c r="I167" s="6">
        <f t="shared" si="18"/>
        <v>0</v>
      </c>
      <c r="J167" s="6"/>
      <c r="K167" s="9"/>
      <c r="L167" s="9"/>
    </row>
    <row r="168" spans="1:12" x14ac:dyDescent="0.25">
      <c r="A168" s="106"/>
      <c r="B168" s="106"/>
      <c r="C168" s="1"/>
      <c r="D168" s="54" t="s">
        <v>215</v>
      </c>
      <c r="E168" s="6"/>
      <c r="F168" s="6"/>
      <c r="G168" s="6"/>
      <c r="H168" s="6"/>
      <c r="I168" s="6"/>
      <c r="J168" s="6">
        <f>(F168+H168)</f>
        <v>0</v>
      </c>
      <c r="K168" s="9"/>
      <c r="L168" s="9"/>
    </row>
    <row r="169" spans="1:12" x14ac:dyDescent="0.25">
      <c r="A169" s="108"/>
      <c r="B169" s="108"/>
      <c r="C169" s="44"/>
      <c r="D169" s="103" t="s">
        <v>221</v>
      </c>
      <c r="E169" s="79"/>
      <c r="F169" s="79"/>
      <c r="G169" s="79"/>
      <c r="H169" s="79">
        <f>(G160+G161+G162+G163+G164+G165+G166+G167-H168)</f>
        <v>0</v>
      </c>
      <c r="I169" s="79"/>
      <c r="J169" s="79">
        <f>(I160+I161+I162+I163+I164+I165+I166+I167-J168)</f>
        <v>0</v>
      </c>
      <c r="K169" s="9"/>
      <c r="L169" s="9"/>
    </row>
    <row r="170" spans="1:12" x14ac:dyDescent="0.25">
      <c r="A170" s="106"/>
      <c r="B170" s="106" t="s">
        <v>101</v>
      </c>
      <c r="C170" s="28">
        <v>43802</v>
      </c>
      <c r="D170" s="127" t="s">
        <v>217</v>
      </c>
      <c r="E170" s="127"/>
      <c r="F170" s="127"/>
      <c r="G170" s="76"/>
      <c r="H170" s="75"/>
      <c r="I170" s="57">
        <f>(E170+G170)</f>
        <v>0</v>
      </c>
      <c r="J170" s="1"/>
      <c r="K170" s="9"/>
      <c r="L170" s="9"/>
    </row>
    <row r="171" spans="1:12" x14ac:dyDescent="0.25">
      <c r="A171" s="106"/>
      <c r="B171" s="106" t="s">
        <v>238</v>
      </c>
      <c r="C171" s="28">
        <v>43829</v>
      </c>
      <c r="D171" s="127" t="s">
        <v>218</v>
      </c>
      <c r="E171" s="127"/>
      <c r="F171" s="127"/>
      <c r="G171" s="76"/>
      <c r="H171" s="75"/>
      <c r="I171" s="57">
        <f>(E171+G171)</f>
        <v>0</v>
      </c>
      <c r="J171" s="1"/>
      <c r="K171" s="9"/>
      <c r="L171" s="9"/>
    </row>
    <row r="172" spans="1:12" x14ac:dyDescent="0.25">
      <c r="A172" s="106"/>
      <c r="B172" s="106"/>
      <c r="C172" s="1"/>
      <c r="D172" s="54" t="s">
        <v>215</v>
      </c>
      <c r="E172" s="54"/>
      <c r="F172" s="54"/>
      <c r="G172" s="56"/>
      <c r="H172" s="77"/>
      <c r="I172" s="54"/>
      <c r="J172" s="58">
        <f>(F172+H172)</f>
        <v>0</v>
      </c>
      <c r="K172" s="9"/>
      <c r="L172" s="9"/>
    </row>
    <row r="173" spans="1:12" x14ac:dyDescent="0.25">
      <c r="A173" s="108"/>
      <c r="B173" s="108"/>
      <c r="C173" s="44"/>
      <c r="D173" s="44" t="s">
        <v>117</v>
      </c>
      <c r="E173" s="44"/>
      <c r="F173" s="44"/>
      <c r="G173" s="44"/>
      <c r="H173" s="44"/>
      <c r="I173" s="44"/>
      <c r="J173" s="44"/>
      <c r="K173" s="9"/>
      <c r="L173" s="9"/>
    </row>
    <row r="174" spans="1:12" x14ac:dyDescent="0.25">
      <c r="A174" s="106"/>
      <c r="B174" s="106"/>
      <c r="C174" s="28">
        <v>43805</v>
      </c>
      <c r="D174" s="29" t="s">
        <v>215</v>
      </c>
      <c r="E174" s="1"/>
      <c r="F174" s="1"/>
      <c r="G174" s="6"/>
      <c r="H174" s="1"/>
      <c r="I174" s="1">
        <f t="shared" ref="I174:J187" si="19">(E174+G174)</f>
        <v>0</v>
      </c>
      <c r="J174" s="1"/>
      <c r="K174" s="9"/>
      <c r="L174" s="9"/>
    </row>
    <row r="175" spans="1:12" x14ac:dyDescent="0.25">
      <c r="A175" s="106"/>
      <c r="B175" s="106"/>
      <c r="C175" s="1"/>
      <c r="D175" s="56" t="s">
        <v>11</v>
      </c>
      <c r="E175" s="54"/>
      <c r="F175" s="54"/>
      <c r="G175" s="54"/>
      <c r="H175" s="54"/>
      <c r="I175" s="1"/>
      <c r="J175" s="1">
        <f t="shared" si="19"/>
        <v>0</v>
      </c>
      <c r="K175" s="9"/>
      <c r="L175" s="9"/>
    </row>
    <row r="176" spans="1:12" x14ac:dyDescent="0.25">
      <c r="A176" s="108"/>
      <c r="B176" s="108"/>
      <c r="C176" s="44"/>
      <c r="D176" s="53" t="s">
        <v>116</v>
      </c>
      <c r="E176" s="44"/>
      <c r="F176" s="44"/>
      <c r="G176" s="44"/>
      <c r="H176" s="44"/>
      <c r="I176" s="44"/>
      <c r="J176" s="44"/>
      <c r="K176" s="9"/>
      <c r="L176" s="9"/>
    </row>
    <row r="177" spans="1:12" x14ac:dyDescent="0.25">
      <c r="A177" s="106"/>
      <c r="B177" s="106" t="s">
        <v>228</v>
      </c>
      <c r="C177" s="28">
        <v>43813</v>
      </c>
      <c r="D177" s="1" t="s">
        <v>113</v>
      </c>
      <c r="E177" s="1"/>
      <c r="F177" s="1"/>
      <c r="G177" s="1"/>
      <c r="H177" s="1"/>
      <c r="I177" s="1">
        <f t="shared" ref="I177:J180" si="20">(E177+G177)</f>
        <v>0</v>
      </c>
      <c r="J177" s="1">
        <f t="shared" si="20"/>
        <v>0</v>
      </c>
      <c r="K177" s="9"/>
      <c r="L177" s="9"/>
    </row>
    <row r="178" spans="1:12" x14ac:dyDescent="0.25">
      <c r="A178" s="106"/>
      <c r="B178" s="106"/>
      <c r="C178" s="1"/>
      <c r="D178" s="1" t="s">
        <v>114</v>
      </c>
      <c r="E178" s="1"/>
      <c r="F178" s="1"/>
      <c r="G178" s="1"/>
      <c r="H178" s="1"/>
      <c r="I178" s="1">
        <f t="shared" si="20"/>
        <v>0</v>
      </c>
      <c r="J178" s="1"/>
      <c r="K178" s="9"/>
      <c r="L178" s="9"/>
    </row>
    <row r="179" spans="1:12" x14ac:dyDescent="0.25">
      <c r="A179" s="106"/>
      <c r="B179" s="106"/>
      <c r="C179" s="1"/>
      <c r="D179" s="1" t="s">
        <v>196</v>
      </c>
      <c r="E179" s="1"/>
      <c r="F179" s="1"/>
      <c r="G179" s="1"/>
      <c r="H179" s="1"/>
      <c r="I179" s="1">
        <f t="shared" si="20"/>
        <v>0</v>
      </c>
      <c r="J179" s="1"/>
      <c r="K179" s="9"/>
      <c r="L179" s="9"/>
    </row>
    <row r="180" spans="1:12" x14ac:dyDescent="0.25">
      <c r="A180" s="106"/>
      <c r="B180" s="106"/>
      <c r="C180" s="1"/>
      <c r="D180" s="29" t="s">
        <v>115</v>
      </c>
      <c r="E180" s="1"/>
      <c r="F180" s="1"/>
      <c r="G180" s="1"/>
      <c r="H180" s="1"/>
      <c r="I180" s="1">
        <f t="shared" si="20"/>
        <v>0</v>
      </c>
      <c r="J180" s="1"/>
      <c r="K180" s="9"/>
      <c r="L180" s="9"/>
    </row>
    <row r="181" spans="1:12" x14ac:dyDescent="0.25">
      <c r="A181" s="106"/>
      <c r="B181" s="106"/>
      <c r="C181" s="1"/>
      <c r="D181" s="56" t="s">
        <v>215</v>
      </c>
      <c r="E181" s="54"/>
      <c r="F181" s="54"/>
      <c r="G181" s="54"/>
      <c r="H181" s="54"/>
      <c r="I181" s="1"/>
      <c r="J181" s="1">
        <f t="shared" ref="J181" si="21">(F181+H181)</f>
        <v>0</v>
      </c>
      <c r="K181" s="9"/>
      <c r="L181" s="9"/>
    </row>
    <row r="182" spans="1:12" x14ac:dyDescent="0.25">
      <c r="A182" s="108"/>
      <c r="B182" s="108"/>
      <c r="C182" s="44"/>
      <c r="D182" s="53" t="s">
        <v>118</v>
      </c>
      <c r="E182" s="44"/>
      <c r="F182" s="44"/>
      <c r="G182" s="44"/>
      <c r="H182" s="44"/>
      <c r="I182" s="44"/>
      <c r="J182" s="44"/>
      <c r="K182" s="9"/>
      <c r="L182" s="9"/>
    </row>
    <row r="183" spans="1:12" x14ac:dyDescent="0.25">
      <c r="A183" s="106"/>
      <c r="B183" s="106" t="s">
        <v>241</v>
      </c>
      <c r="C183" s="28">
        <v>43830</v>
      </c>
      <c r="D183" s="1" t="s">
        <v>119</v>
      </c>
      <c r="E183" s="1"/>
      <c r="F183" s="1"/>
      <c r="G183" s="1"/>
      <c r="H183" s="1"/>
      <c r="I183" s="1">
        <f t="shared" si="19"/>
        <v>0</v>
      </c>
      <c r="J183" s="1"/>
      <c r="K183" s="9" t="s">
        <v>127</v>
      </c>
      <c r="L183" s="9"/>
    </row>
    <row r="184" spans="1:12" x14ac:dyDescent="0.25">
      <c r="A184" s="106"/>
      <c r="B184" s="106"/>
      <c r="C184" s="1"/>
      <c r="D184" s="54" t="s">
        <v>10</v>
      </c>
      <c r="E184" s="54"/>
      <c r="F184" s="54"/>
      <c r="G184" s="54"/>
      <c r="H184" s="54"/>
      <c r="I184" s="54"/>
      <c r="J184" s="54">
        <f t="shared" si="19"/>
        <v>0</v>
      </c>
      <c r="K184" s="9"/>
      <c r="L184" s="9"/>
    </row>
    <row r="185" spans="1:12" x14ac:dyDescent="0.25">
      <c r="A185" s="108"/>
      <c r="B185" s="108"/>
      <c r="C185" s="44"/>
      <c r="D185" s="53" t="s">
        <v>120</v>
      </c>
      <c r="E185" s="44"/>
      <c r="F185" s="44"/>
      <c r="G185" s="44"/>
      <c r="H185" s="44"/>
      <c r="I185" s="44">
        <f t="shared" si="19"/>
        <v>0</v>
      </c>
      <c r="J185" s="44">
        <f t="shared" si="19"/>
        <v>0</v>
      </c>
      <c r="K185" s="9"/>
      <c r="L185" s="9"/>
    </row>
    <row r="186" spans="1:12" x14ac:dyDescent="0.25">
      <c r="A186" s="106"/>
      <c r="B186" s="106" t="s">
        <v>239</v>
      </c>
      <c r="C186" s="28">
        <v>43830</v>
      </c>
      <c r="D186" s="1" t="s">
        <v>115</v>
      </c>
      <c r="E186" s="1"/>
      <c r="F186" s="1"/>
      <c r="G186" s="127"/>
      <c r="H186" s="127"/>
      <c r="I186" s="127">
        <f t="shared" si="19"/>
        <v>0</v>
      </c>
      <c r="J186" s="127">
        <f t="shared" si="19"/>
        <v>0</v>
      </c>
      <c r="K186" s="9" t="s">
        <v>126</v>
      </c>
      <c r="L186" s="9"/>
    </row>
    <row r="187" spans="1:12" x14ac:dyDescent="0.25">
      <c r="A187" s="106"/>
      <c r="B187" s="106"/>
      <c r="C187" s="1"/>
      <c r="D187" s="54" t="s">
        <v>121</v>
      </c>
      <c r="E187" s="54"/>
      <c r="F187" s="54"/>
      <c r="G187" s="54"/>
      <c r="H187" s="54"/>
      <c r="I187" s="54">
        <f t="shared" si="19"/>
        <v>0</v>
      </c>
      <c r="J187" s="54">
        <f t="shared" si="19"/>
        <v>0</v>
      </c>
      <c r="K187" s="9"/>
      <c r="L187" s="9"/>
    </row>
    <row r="188" spans="1:12" x14ac:dyDescent="0.25">
      <c r="A188" s="108"/>
      <c r="B188" s="108"/>
      <c r="C188" s="44"/>
      <c r="D188" s="53" t="s">
        <v>122</v>
      </c>
      <c r="E188" s="44"/>
      <c r="F188" s="44"/>
      <c r="G188" s="44"/>
      <c r="H188" s="44"/>
      <c r="I188" s="44"/>
      <c r="J188" s="44"/>
      <c r="K188" s="9"/>
      <c r="L188" s="9"/>
    </row>
    <row r="189" spans="1:12" x14ac:dyDescent="0.25">
      <c r="A189" s="106"/>
      <c r="B189" s="106">
        <v>19</v>
      </c>
      <c r="C189" s="28">
        <v>43830</v>
      </c>
      <c r="D189" s="1" t="s">
        <v>19</v>
      </c>
      <c r="E189" s="1"/>
      <c r="F189" s="1"/>
      <c r="G189" s="1"/>
      <c r="H189" s="1"/>
      <c r="I189" s="1">
        <f>(E189+G189)</f>
        <v>0</v>
      </c>
      <c r="J189" s="1"/>
      <c r="K189" s="9" t="s">
        <v>282</v>
      </c>
      <c r="L189" s="9"/>
    </row>
    <row r="190" spans="1:12" x14ac:dyDescent="0.25">
      <c r="A190" s="106"/>
      <c r="B190" s="106"/>
      <c r="C190" s="1"/>
      <c r="D190" s="54" t="s">
        <v>6</v>
      </c>
      <c r="E190" s="1"/>
      <c r="F190" s="1"/>
      <c r="G190" s="1"/>
      <c r="H190" s="1"/>
      <c r="I190" s="1"/>
      <c r="J190" s="1">
        <f>(F190+H190)</f>
        <v>0</v>
      </c>
      <c r="K190" s="9"/>
      <c r="L190" s="9"/>
    </row>
    <row r="191" spans="1:12" x14ac:dyDescent="0.25">
      <c r="A191" s="111"/>
      <c r="B191" s="111"/>
      <c r="C191" s="53"/>
      <c r="D191" s="53" t="s">
        <v>240</v>
      </c>
      <c r="E191" s="53"/>
      <c r="F191" s="53"/>
      <c r="G191" s="53"/>
      <c r="H191" s="53"/>
      <c r="I191" s="53"/>
      <c r="J191" s="53"/>
      <c r="K191" s="9"/>
      <c r="L191" s="9"/>
    </row>
    <row r="192" spans="1:12" x14ac:dyDescent="0.25">
      <c r="A192" s="106"/>
      <c r="B192" s="106" t="s">
        <v>242</v>
      </c>
      <c r="C192" s="28">
        <v>43830</v>
      </c>
      <c r="D192" s="1" t="s">
        <v>21</v>
      </c>
      <c r="E192" s="1"/>
      <c r="F192" s="1"/>
      <c r="G192" s="127"/>
      <c r="H192" s="127"/>
      <c r="I192" s="127">
        <f t="shared" ref="I192:I193" si="22">(E192+G192)</f>
        <v>0</v>
      </c>
      <c r="J192" s="127"/>
      <c r="K192" s="9"/>
      <c r="L192" s="121"/>
    </row>
    <row r="193" spans="1:12" x14ac:dyDescent="0.25">
      <c r="A193" s="106"/>
      <c r="B193" s="106"/>
      <c r="C193" s="1"/>
      <c r="D193" s="54" t="s">
        <v>17</v>
      </c>
      <c r="E193" s="54"/>
      <c r="F193" s="54"/>
      <c r="G193" s="54"/>
      <c r="H193" s="54"/>
      <c r="I193" s="54">
        <f t="shared" si="22"/>
        <v>0</v>
      </c>
      <c r="J193" s="54"/>
      <c r="K193" s="9"/>
      <c r="L193" s="9"/>
    </row>
    <row r="194" spans="1:12" x14ac:dyDescent="0.25">
      <c r="A194" s="108"/>
      <c r="B194" s="108"/>
      <c r="C194" s="44"/>
      <c r="D194" s="53" t="s">
        <v>261</v>
      </c>
      <c r="E194" s="44"/>
      <c r="F194" s="44"/>
      <c r="G194" s="44"/>
      <c r="H194" s="44"/>
      <c r="I194" s="44"/>
      <c r="J194" s="44"/>
      <c r="K194" s="9"/>
      <c r="L194" s="9"/>
    </row>
    <row r="195" spans="1:12" x14ac:dyDescent="0.25">
      <c r="A195" s="106"/>
      <c r="B195" s="106" t="s">
        <v>243</v>
      </c>
      <c r="C195" s="28">
        <v>43830</v>
      </c>
      <c r="D195" s="1" t="s">
        <v>17</v>
      </c>
      <c r="E195" s="1"/>
      <c r="F195" s="1"/>
      <c r="G195" s="1"/>
      <c r="H195" s="1"/>
      <c r="I195" s="1">
        <f>(E195+G195)</f>
        <v>0</v>
      </c>
      <c r="J195" s="1"/>
      <c r="K195" s="9"/>
      <c r="L195" s="9"/>
    </row>
    <row r="196" spans="1:12" x14ac:dyDescent="0.25">
      <c r="A196" s="106"/>
      <c r="B196" s="106"/>
      <c r="C196" s="1"/>
      <c r="D196" s="54" t="s">
        <v>21</v>
      </c>
      <c r="E196" s="1"/>
      <c r="F196" s="1"/>
      <c r="G196" s="1"/>
      <c r="H196" s="1"/>
      <c r="I196" s="1"/>
      <c r="J196" s="1">
        <f>(F196+H196)</f>
        <v>0</v>
      </c>
      <c r="K196" s="9"/>
      <c r="L196" s="9"/>
    </row>
    <row r="197" spans="1:12" x14ac:dyDescent="0.25">
      <c r="A197" s="111"/>
      <c r="B197" s="111"/>
      <c r="C197" s="53"/>
      <c r="D197" s="53" t="s">
        <v>262</v>
      </c>
      <c r="E197" s="53"/>
      <c r="F197" s="53"/>
      <c r="G197" s="53"/>
      <c r="H197" s="53"/>
      <c r="I197" s="53"/>
      <c r="J197" s="53"/>
      <c r="K197" s="9"/>
      <c r="L197" s="9"/>
    </row>
    <row r="198" spans="1:12" x14ac:dyDescent="0.25">
      <c r="A198" s="114"/>
      <c r="B198" s="114" t="s">
        <v>244</v>
      </c>
      <c r="C198" s="28">
        <v>43830</v>
      </c>
      <c r="D198" s="75" t="s">
        <v>13</v>
      </c>
      <c r="E198" s="75"/>
      <c r="F198" s="75"/>
      <c r="G198" s="75"/>
      <c r="H198" s="75"/>
      <c r="I198" s="1">
        <f t="shared" ref="I198:I199" si="23">(E198+G198)</f>
        <v>0</v>
      </c>
      <c r="J198" s="68"/>
      <c r="K198" s="9"/>
      <c r="L198" s="9"/>
    </row>
    <row r="199" spans="1:12" x14ac:dyDescent="0.25">
      <c r="A199" s="114"/>
      <c r="B199" s="114"/>
      <c r="C199" s="68"/>
      <c r="D199" s="75" t="s">
        <v>7</v>
      </c>
      <c r="E199" s="75"/>
      <c r="F199" s="75"/>
      <c r="G199" s="75"/>
      <c r="H199" s="75"/>
      <c r="I199" s="1">
        <f t="shared" si="23"/>
        <v>0</v>
      </c>
      <c r="J199" s="68"/>
      <c r="K199" s="9"/>
      <c r="L199" s="9"/>
    </row>
    <row r="200" spans="1:12" x14ac:dyDescent="0.25">
      <c r="A200" s="114"/>
      <c r="B200" s="114"/>
      <c r="C200" s="68"/>
      <c r="D200" s="56" t="s">
        <v>21</v>
      </c>
      <c r="E200" s="56"/>
      <c r="F200" s="56"/>
      <c r="G200" s="56"/>
      <c r="H200" s="56"/>
      <c r="I200" s="56"/>
      <c r="J200" s="56">
        <f>(F200+H200)</f>
        <v>0</v>
      </c>
      <c r="K200" s="9"/>
      <c r="L200" s="9"/>
    </row>
    <row r="201" spans="1:12" x14ac:dyDescent="0.25">
      <c r="A201" s="111"/>
      <c r="B201" s="111"/>
      <c r="C201" s="53"/>
      <c r="D201" s="53" t="s">
        <v>245</v>
      </c>
      <c r="E201" s="53"/>
      <c r="F201" s="53"/>
      <c r="G201" s="53"/>
      <c r="H201" s="53"/>
      <c r="I201" s="53"/>
      <c r="J201" s="53"/>
      <c r="K201" s="9"/>
      <c r="L201" s="9"/>
    </row>
    <row r="202" spans="1:12" x14ac:dyDescent="0.25">
      <c r="A202" s="114"/>
      <c r="B202" s="114" t="s">
        <v>246</v>
      </c>
      <c r="C202" s="28">
        <v>43830</v>
      </c>
      <c r="D202" s="75" t="s">
        <v>247</v>
      </c>
      <c r="E202" s="75"/>
      <c r="F202" s="75"/>
      <c r="G202" s="75"/>
      <c r="H202" s="75"/>
      <c r="I202" s="1">
        <f t="shared" ref="I202" si="24">(E202+G202)</f>
        <v>0</v>
      </c>
      <c r="J202" s="75"/>
      <c r="K202" s="9"/>
      <c r="L202" s="9"/>
    </row>
    <row r="203" spans="1:12" x14ac:dyDescent="0.25">
      <c r="A203" s="114"/>
      <c r="B203" s="114"/>
      <c r="C203" s="68"/>
      <c r="D203" s="56" t="s">
        <v>13</v>
      </c>
      <c r="E203" s="56"/>
      <c r="F203" s="56"/>
      <c r="G203" s="56"/>
      <c r="H203" s="56"/>
      <c r="I203" s="56"/>
      <c r="J203" s="56">
        <f t="shared" ref="J203:J204" si="25">(F203+H203)</f>
        <v>0</v>
      </c>
      <c r="K203" s="9"/>
      <c r="L203" s="9"/>
    </row>
    <row r="204" spans="1:12" x14ac:dyDescent="0.25">
      <c r="A204" s="114"/>
      <c r="B204" s="114"/>
      <c r="C204" s="68"/>
      <c r="D204" s="56" t="s">
        <v>7</v>
      </c>
      <c r="E204" s="56"/>
      <c r="F204" s="56"/>
      <c r="G204" s="56"/>
      <c r="H204" s="56"/>
      <c r="I204" s="56"/>
      <c r="J204" s="56">
        <f t="shared" si="25"/>
        <v>0</v>
      </c>
      <c r="K204" s="9"/>
      <c r="L204" s="9"/>
    </row>
    <row r="205" spans="1:12" x14ac:dyDescent="0.25">
      <c r="A205" s="111"/>
      <c r="B205" s="111"/>
      <c r="C205" s="53"/>
      <c r="D205" s="53" t="s">
        <v>248</v>
      </c>
      <c r="E205" s="53"/>
      <c r="F205" s="53"/>
      <c r="G205" s="53"/>
      <c r="H205" s="53"/>
      <c r="I205" s="53"/>
      <c r="J205" s="53"/>
      <c r="K205" s="9"/>
      <c r="L205" s="9"/>
    </row>
    <row r="206" spans="1:12" x14ac:dyDescent="0.25">
      <c r="A206" s="114"/>
      <c r="B206" s="114" t="s">
        <v>256</v>
      </c>
      <c r="C206" s="28">
        <v>43830</v>
      </c>
      <c r="D206" s="75" t="s">
        <v>20</v>
      </c>
      <c r="E206" s="75"/>
      <c r="F206" s="75"/>
      <c r="G206" s="75"/>
      <c r="H206" s="75"/>
      <c r="I206" s="1">
        <f>(E206+G206)</f>
        <v>0</v>
      </c>
      <c r="J206" s="75"/>
      <c r="K206" s="9"/>
      <c r="L206" s="9"/>
    </row>
    <row r="207" spans="1:12" x14ac:dyDescent="0.25">
      <c r="A207" s="114"/>
      <c r="B207" s="114"/>
      <c r="C207" s="28"/>
      <c r="D207" s="56" t="s">
        <v>13</v>
      </c>
      <c r="E207" s="68"/>
      <c r="F207" s="68"/>
      <c r="G207" s="68"/>
      <c r="H207" s="68"/>
      <c r="I207" s="56"/>
      <c r="J207" s="56">
        <f t="shared" ref="J207:J208" si="26">(F207+H207)</f>
        <v>0</v>
      </c>
      <c r="K207" s="9"/>
      <c r="L207" s="9"/>
    </row>
    <row r="208" spans="1:12" x14ac:dyDescent="0.25">
      <c r="A208" s="114"/>
      <c r="B208" s="114"/>
      <c r="C208" s="68"/>
      <c r="D208" s="56" t="s">
        <v>7</v>
      </c>
      <c r="E208" s="68"/>
      <c r="F208" s="68"/>
      <c r="G208" s="68"/>
      <c r="H208" s="68"/>
      <c r="I208" s="56"/>
      <c r="J208" s="56">
        <f t="shared" si="26"/>
        <v>0</v>
      </c>
      <c r="K208" s="9"/>
      <c r="L208" s="9"/>
    </row>
    <row r="209" spans="1:16" x14ac:dyDescent="0.25">
      <c r="A209" s="111"/>
      <c r="B209" s="111"/>
      <c r="C209" s="53"/>
      <c r="D209" s="53" t="s">
        <v>265</v>
      </c>
      <c r="E209" s="53"/>
      <c r="F209" s="53"/>
      <c r="G209" s="53"/>
      <c r="H209" s="53"/>
      <c r="I209" s="53"/>
      <c r="J209" s="53"/>
      <c r="K209" s="9"/>
      <c r="L209" s="9"/>
    </row>
    <row r="210" spans="1:16" x14ac:dyDescent="0.25">
      <c r="A210" s="114"/>
      <c r="B210" s="114" t="s">
        <v>276</v>
      </c>
      <c r="C210" s="28"/>
      <c r="D210" s="75"/>
      <c r="E210" s="75"/>
      <c r="F210" s="75"/>
      <c r="G210" s="75"/>
      <c r="H210" s="75"/>
      <c r="I210" s="75">
        <f>(E210+G210)</f>
        <v>0</v>
      </c>
      <c r="J210" s="75"/>
      <c r="K210" s="9"/>
      <c r="L210" s="9"/>
    </row>
    <row r="211" spans="1:16" x14ac:dyDescent="0.25">
      <c r="A211" s="114"/>
      <c r="B211" s="114"/>
      <c r="C211" s="68"/>
      <c r="D211" s="56"/>
      <c r="E211" s="56"/>
      <c r="F211" s="56"/>
      <c r="G211" s="56"/>
      <c r="H211" s="56"/>
      <c r="I211" s="56"/>
      <c r="J211" s="56">
        <f>(F211+H211)</f>
        <v>0</v>
      </c>
      <c r="K211" s="9"/>
      <c r="L211" s="9"/>
    </row>
    <row r="212" spans="1:16" x14ac:dyDescent="0.25">
      <c r="A212" s="111"/>
      <c r="B212" s="111"/>
      <c r="C212" s="53"/>
      <c r="D212" s="53" t="s">
        <v>266</v>
      </c>
      <c r="E212" s="53"/>
      <c r="F212" s="53"/>
      <c r="G212" s="53"/>
      <c r="H212" s="53"/>
      <c r="I212" s="53"/>
      <c r="J212" s="53"/>
      <c r="K212" s="9"/>
      <c r="L212" s="9"/>
    </row>
    <row r="213" spans="1:16" x14ac:dyDescent="0.25">
      <c r="A213" s="114"/>
      <c r="B213" s="114" t="s">
        <v>275</v>
      </c>
      <c r="C213" s="28">
        <v>43830</v>
      </c>
      <c r="D213" s="75" t="s">
        <v>214</v>
      </c>
      <c r="E213" s="75"/>
      <c r="F213" s="75"/>
      <c r="G213" s="75"/>
      <c r="H213" s="75"/>
      <c r="I213" s="75">
        <f>(E213+G213)</f>
        <v>0</v>
      </c>
      <c r="J213" s="75"/>
      <c r="K213" s="9"/>
      <c r="L213" s="9"/>
    </row>
    <row r="214" spans="1:16" x14ac:dyDescent="0.25">
      <c r="A214" s="114"/>
      <c r="B214" s="114"/>
      <c r="C214" s="68"/>
      <c r="D214" s="56" t="s">
        <v>2</v>
      </c>
      <c r="E214" s="56"/>
      <c r="F214" s="56"/>
      <c r="G214" s="56"/>
      <c r="H214" s="56"/>
      <c r="I214" s="56"/>
      <c r="J214" s="56">
        <f>(F214+H214)</f>
        <v>0</v>
      </c>
      <c r="K214" s="9"/>
      <c r="L214" s="9"/>
    </row>
    <row r="215" spans="1:16" x14ac:dyDescent="0.25">
      <c r="A215" s="111"/>
      <c r="B215" s="111"/>
      <c r="C215" s="53"/>
      <c r="D215" s="53"/>
      <c r="E215" s="53"/>
      <c r="F215" s="53"/>
      <c r="G215" s="53"/>
      <c r="H215" s="53"/>
      <c r="I215" s="53"/>
      <c r="J215" s="53"/>
      <c r="K215" s="9"/>
      <c r="L215" s="9"/>
    </row>
    <row r="216" spans="1:16" x14ac:dyDescent="0.25">
      <c r="A216" s="112"/>
      <c r="B216" s="112"/>
      <c r="C216" s="113"/>
      <c r="D216" s="113"/>
      <c r="E216" s="113"/>
      <c r="F216" s="113"/>
      <c r="G216" s="113"/>
      <c r="H216" s="113"/>
      <c r="I216" s="113"/>
      <c r="J216" s="113"/>
      <c r="K216" s="9"/>
      <c r="L216" s="9"/>
    </row>
    <row r="217" spans="1:16" x14ac:dyDescent="0.25">
      <c r="C217" s="9"/>
      <c r="D217" s="26" t="s">
        <v>140</v>
      </c>
      <c r="E217" s="171" t="s">
        <v>141</v>
      </c>
      <c r="F217" s="171"/>
      <c r="G217" s="9"/>
      <c r="H217" s="9"/>
      <c r="I217" s="9"/>
      <c r="J217" s="9"/>
      <c r="K217" s="9"/>
      <c r="L217" s="9"/>
    </row>
    <row r="218" spans="1:16" x14ac:dyDescent="0.25">
      <c r="C218" s="9"/>
      <c r="D218" s="9" t="s">
        <v>142</v>
      </c>
      <c r="E218" s="9"/>
      <c r="F218" s="9">
        <v>520000</v>
      </c>
      <c r="G218" s="9"/>
      <c r="H218" s="9" t="s">
        <v>417</v>
      </c>
      <c r="I218" s="9"/>
      <c r="J218" s="9"/>
      <c r="K218" s="9"/>
      <c r="L218" s="9"/>
    </row>
    <row r="219" spans="1:16" x14ac:dyDescent="0.25">
      <c r="C219" s="9"/>
      <c r="D219" s="9" t="s">
        <v>143</v>
      </c>
      <c r="E219" s="9"/>
      <c r="F219" s="10">
        <f>(L219)</f>
        <v>119145.83333333333</v>
      </c>
      <c r="G219" s="9"/>
      <c r="H219" s="160">
        <v>301000</v>
      </c>
      <c r="I219" s="9">
        <v>4.75</v>
      </c>
      <c r="J219" s="9">
        <f>(H219*I219)</f>
        <v>1429750</v>
      </c>
      <c r="K219" s="9">
        <v>12</v>
      </c>
      <c r="L219" s="10">
        <f>(J219/K219)</f>
        <v>119145.83333333333</v>
      </c>
      <c r="N219">
        <f>(F218)</f>
        <v>520000</v>
      </c>
    </row>
    <row r="220" spans="1:16" x14ac:dyDescent="0.25">
      <c r="C220" s="9"/>
      <c r="D220" s="8" t="s">
        <v>145</v>
      </c>
      <c r="E220" s="9"/>
      <c r="F220" s="10">
        <f>(K220)</f>
        <v>68754.868000000002</v>
      </c>
      <c r="G220" s="9"/>
      <c r="H220" s="9">
        <f>(F218)</f>
        <v>520000</v>
      </c>
      <c r="I220" s="9">
        <v>7.7777000000000002E-3</v>
      </c>
      <c r="J220" s="8">
        <v>17</v>
      </c>
      <c r="K220" s="10">
        <f>(H220*I220)*J220</f>
        <v>68754.868000000002</v>
      </c>
      <c r="L220" s="9"/>
      <c r="N220" s="4">
        <f>(F220)</f>
        <v>68754.868000000002</v>
      </c>
    </row>
    <row r="221" spans="1:16" x14ac:dyDescent="0.25">
      <c r="C221" s="9"/>
      <c r="D221" s="8" t="s">
        <v>146</v>
      </c>
      <c r="E221" s="9"/>
      <c r="F221" s="24">
        <f>(K221)</f>
        <v>754036.25</v>
      </c>
      <c r="G221" s="9"/>
      <c r="H221" s="9" t="s">
        <v>312</v>
      </c>
      <c r="I221" s="9">
        <f>(F70)</f>
        <v>13709750</v>
      </c>
      <c r="J221" s="162">
        <v>5.5E-2</v>
      </c>
      <c r="K221" s="10">
        <f>(I221*J221)</f>
        <v>754036.25</v>
      </c>
      <c r="L221" s="9"/>
      <c r="N221" s="4">
        <f>(F221)</f>
        <v>754036.25</v>
      </c>
    </row>
    <row r="222" spans="1:16" x14ac:dyDescent="0.25">
      <c r="D222" s="8" t="s">
        <v>339</v>
      </c>
      <c r="F222" s="8">
        <v>0</v>
      </c>
      <c r="H222" s="39" t="s">
        <v>313</v>
      </c>
      <c r="I222" s="39"/>
      <c r="J222" s="39" t="s">
        <v>314</v>
      </c>
      <c r="N222">
        <f>SUM(N219:N221)</f>
        <v>1342791.118</v>
      </c>
      <c r="O222" s="2">
        <v>0.25</v>
      </c>
      <c r="P222">
        <f>(N222*O222)</f>
        <v>335697.7795</v>
      </c>
    </row>
    <row r="223" spans="1:16" x14ac:dyDescent="0.25">
      <c r="D223" s="8" t="s">
        <v>151</v>
      </c>
      <c r="F223" s="100">
        <f>SUM(F218:F222)</f>
        <v>1461936.9513333333</v>
      </c>
    </row>
    <row r="224" spans="1:16" x14ac:dyDescent="0.25">
      <c r="D224" s="8" t="s">
        <v>148</v>
      </c>
      <c r="F224" s="4">
        <v>0</v>
      </c>
    </row>
    <row r="225" spans="1:26" x14ac:dyDescent="0.25">
      <c r="D225" s="8" t="s">
        <v>149</v>
      </c>
      <c r="F225" s="4">
        <v>35000</v>
      </c>
    </row>
    <row r="226" spans="1:26" x14ac:dyDescent="0.25">
      <c r="D226" s="8" t="s">
        <v>150</v>
      </c>
      <c r="F226" s="4">
        <v>25000</v>
      </c>
    </row>
    <row r="227" spans="1:26" x14ac:dyDescent="0.25">
      <c r="D227" s="8" t="s">
        <v>147</v>
      </c>
      <c r="F227" s="100">
        <f>SUM(F223:F226)</f>
        <v>1521936.9513333333</v>
      </c>
    </row>
    <row r="228" spans="1:26" x14ac:dyDescent="0.25">
      <c r="D228" s="80" t="s">
        <v>152</v>
      </c>
    </row>
    <row r="229" spans="1:26" x14ac:dyDescent="0.25">
      <c r="D229" s="8" t="s">
        <v>153</v>
      </c>
      <c r="E229" s="85">
        <f>(K229)</f>
        <v>167391.78092766667</v>
      </c>
      <c r="H229" s="86" t="s">
        <v>315</v>
      </c>
      <c r="I229" s="85">
        <f>(F223)</f>
        <v>1461936.9513333333</v>
      </c>
      <c r="J229" s="138">
        <v>0.1145</v>
      </c>
      <c r="K229" s="85">
        <f>(I229*J229)</f>
        <v>167391.78092766667</v>
      </c>
      <c r="L229" s="86"/>
    </row>
    <row r="230" spans="1:26" x14ac:dyDescent="0.25">
      <c r="D230" s="8" t="s">
        <v>154</v>
      </c>
      <c r="E230" s="74">
        <f>(O233)</f>
        <v>102335.58659333334</v>
      </c>
      <c r="H230" s="39" t="s">
        <v>316</v>
      </c>
      <c r="I230" s="39"/>
      <c r="J230" s="39"/>
      <c r="K230" s="74">
        <f>(I229)</f>
        <v>1461936.9513333333</v>
      </c>
      <c r="L230" s="39"/>
    </row>
    <row r="231" spans="1:26" x14ac:dyDescent="0.25">
      <c r="D231" s="8" t="s">
        <v>158</v>
      </c>
      <c r="E231" s="84">
        <f>(K238)</f>
        <v>8771.6217080000006</v>
      </c>
      <c r="H231" s="39" t="s">
        <v>317</v>
      </c>
      <c r="I231" s="39"/>
      <c r="J231" s="39">
        <v>3.45</v>
      </c>
      <c r="K231" s="161">
        <v>28222.33</v>
      </c>
      <c r="L231" s="74">
        <f>(J231*K231)</f>
        <v>97367.03850000001</v>
      </c>
    </row>
    <row r="232" spans="1:26" x14ac:dyDescent="0.25">
      <c r="D232" s="87" t="s">
        <v>159</v>
      </c>
      <c r="E232" s="4"/>
      <c r="H232" s="39" t="s">
        <v>318</v>
      </c>
      <c r="I232" s="39"/>
      <c r="J232" s="39"/>
      <c r="K232" s="39"/>
      <c r="L232" s="139">
        <f>(L231)</f>
        <v>97367.03850000001</v>
      </c>
    </row>
    <row r="233" spans="1:26" x14ac:dyDescent="0.25">
      <c r="A233" s="197" t="s">
        <v>151</v>
      </c>
      <c r="B233" s="197"/>
      <c r="C233" s="197"/>
      <c r="D233" s="4">
        <f>(F223)</f>
        <v>1461936.9513333333</v>
      </c>
      <c r="H233" s="39" t="s">
        <v>155</v>
      </c>
      <c r="I233" s="39"/>
      <c r="J233" s="39"/>
      <c r="K233" s="39"/>
      <c r="L233" s="139">
        <f>(O233)</f>
        <v>102335.58659333334</v>
      </c>
      <c r="M233" s="4">
        <f>(K230)</f>
        <v>1461936.9513333333</v>
      </c>
      <c r="N233" s="2">
        <v>7.0000000000000007E-2</v>
      </c>
      <c r="O233" s="4">
        <f>(M233*N233)</f>
        <v>102335.58659333334</v>
      </c>
    </row>
    <row r="234" spans="1:26" x14ac:dyDescent="0.25">
      <c r="A234" s="198" t="s">
        <v>319</v>
      </c>
      <c r="B234" s="198"/>
      <c r="C234" s="198"/>
      <c r="D234" s="24">
        <f>(E229+E230+E231)</f>
        <v>278498.989229</v>
      </c>
      <c r="H234" s="39"/>
      <c r="I234" s="39"/>
      <c r="J234" s="39" t="s">
        <v>156</v>
      </c>
      <c r="K234" s="39"/>
      <c r="L234" s="82">
        <v>0</v>
      </c>
    </row>
    <row r="235" spans="1:26" x14ac:dyDescent="0.25">
      <c r="A235" s="198" t="s">
        <v>160</v>
      </c>
      <c r="B235" s="198"/>
      <c r="C235" s="198"/>
      <c r="D235" s="142">
        <f>(D233-D234)</f>
        <v>1183437.9621043333</v>
      </c>
      <c r="H235" s="39" t="s">
        <v>157</v>
      </c>
      <c r="I235" s="39"/>
      <c r="J235" s="39"/>
      <c r="K235" s="39"/>
      <c r="L235" s="39"/>
    </row>
    <row r="236" spans="1:26" x14ac:dyDescent="0.25">
      <c r="A236" s="198" t="s">
        <v>320</v>
      </c>
      <c r="B236" s="198"/>
      <c r="C236" s="198"/>
      <c r="D236" s="17">
        <f>(M240)</f>
        <v>47337.518484173335</v>
      </c>
      <c r="H236" s="39" t="s">
        <v>413</v>
      </c>
      <c r="I236" s="39"/>
      <c r="J236" s="39"/>
      <c r="K236" s="39"/>
      <c r="L236" s="39"/>
    </row>
    <row r="237" spans="1:26" x14ac:dyDescent="0.25">
      <c r="A237" s="198" t="s">
        <v>325</v>
      </c>
      <c r="B237" s="198"/>
      <c r="C237" s="198"/>
      <c r="D237" s="146">
        <f>(M241)</f>
        <v>26583.660000000003</v>
      </c>
    </row>
    <row r="238" spans="1:26" x14ac:dyDescent="0.25">
      <c r="A238" s="198" t="s">
        <v>332</v>
      </c>
      <c r="B238" s="198"/>
      <c r="C238" s="198"/>
      <c r="D238" s="147">
        <f>(D236-D237)</f>
        <v>20753.858484173332</v>
      </c>
      <c r="E238" s="145">
        <f>(D236-D237)</f>
        <v>20753.858484173332</v>
      </c>
      <c r="H238" s="86" t="s">
        <v>315</v>
      </c>
      <c r="I238" s="85">
        <f>(I229)</f>
        <v>1461936.9513333333</v>
      </c>
      <c r="J238" s="138">
        <v>6.0000000000000001E-3</v>
      </c>
      <c r="K238" s="85">
        <f>(I238*J238)</f>
        <v>8771.6217080000006</v>
      </c>
      <c r="L238" s="86"/>
      <c r="O238" s="197" t="s">
        <v>327</v>
      </c>
      <c r="P238" s="197"/>
      <c r="Q238" s="197"/>
      <c r="R238" s="197"/>
      <c r="S238" s="197"/>
      <c r="U238" s="197" t="s">
        <v>326</v>
      </c>
      <c r="V238" s="197"/>
      <c r="W238" s="197"/>
      <c r="X238" s="197"/>
      <c r="Y238" s="197"/>
      <c r="Z238" s="39">
        <v>49229</v>
      </c>
    </row>
    <row r="239" spans="1:26" x14ac:dyDescent="0.25">
      <c r="D239" t="s">
        <v>162</v>
      </c>
      <c r="F239" s="92">
        <f>(E229+E230+E231+E238)</f>
        <v>299252.84771317331</v>
      </c>
      <c r="P239" s="197" t="s">
        <v>321</v>
      </c>
      <c r="Q239" s="197"/>
      <c r="R239">
        <v>49229</v>
      </c>
      <c r="V239" s="197" t="s">
        <v>321</v>
      </c>
      <c r="W239" s="197"/>
      <c r="X239" s="39">
        <v>49229</v>
      </c>
    </row>
    <row r="240" spans="1:26" x14ac:dyDescent="0.25">
      <c r="D240" s="94" t="s">
        <v>167</v>
      </c>
      <c r="E240" s="94"/>
      <c r="F240" s="95">
        <f>(F227-F239)</f>
        <v>1222684.1036201599</v>
      </c>
      <c r="H240" s="89" t="s">
        <v>330</v>
      </c>
      <c r="I240" s="89"/>
      <c r="J240" s="89"/>
      <c r="K240" s="144">
        <f>(D235)</f>
        <v>1183437.9621043333</v>
      </c>
      <c r="L240" s="140">
        <f>(R242)</f>
        <v>0.04</v>
      </c>
      <c r="M240" s="4">
        <f>(K240*L240)</f>
        <v>47337.518484173335</v>
      </c>
      <c r="O240" t="s">
        <v>328</v>
      </c>
      <c r="P240" t="s">
        <v>322</v>
      </c>
      <c r="Q240" t="s">
        <v>323</v>
      </c>
      <c r="R240" t="s">
        <v>324</v>
      </c>
      <c r="S240" t="s">
        <v>325</v>
      </c>
      <c r="U240" t="s">
        <v>328</v>
      </c>
      <c r="V240" t="s">
        <v>322</v>
      </c>
      <c r="W240" t="s">
        <v>323</v>
      </c>
      <c r="X240" t="s">
        <v>324</v>
      </c>
      <c r="Y240" t="s">
        <v>325</v>
      </c>
    </row>
    <row r="241" spans="4:25" x14ac:dyDescent="0.25">
      <c r="D241" t="s">
        <v>168</v>
      </c>
      <c r="F241">
        <v>350000</v>
      </c>
      <c r="H241" s="90" t="s">
        <v>161</v>
      </c>
      <c r="I241" s="90"/>
      <c r="J241" s="90"/>
      <c r="K241" s="90"/>
      <c r="M241" s="4">
        <f>(S242)</f>
        <v>26583.660000000003</v>
      </c>
      <c r="O241" s="154">
        <v>1</v>
      </c>
      <c r="P241">
        <v>0</v>
      </c>
      <c r="Q241" s="4">
        <f>(W241*X239)</f>
        <v>664591.5</v>
      </c>
      <c r="R241" s="4">
        <v>0</v>
      </c>
      <c r="S241" s="4">
        <v>0</v>
      </c>
      <c r="U241" s="154">
        <v>1</v>
      </c>
      <c r="V241">
        <v>0</v>
      </c>
      <c r="W241" s="137">
        <v>13.5</v>
      </c>
      <c r="X241" s="4">
        <v>0</v>
      </c>
      <c r="Y241" s="4">
        <v>0</v>
      </c>
    </row>
    <row r="242" spans="4:25" x14ac:dyDescent="0.25">
      <c r="D242" t="s">
        <v>169</v>
      </c>
      <c r="F242" s="4">
        <f>(F240-F241)</f>
        <v>872684.10362015991</v>
      </c>
      <c r="H242" s="91" t="s">
        <v>331</v>
      </c>
      <c r="I242" s="91"/>
      <c r="J242" s="91"/>
      <c r="K242" s="91"/>
      <c r="L242" s="91"/>
      <c r="M242" s="145">
        <f>(M240-M241)</f>
        <v>20753.858484173332</v>
      </c>
      <c r="O242" s="156">
        <f>(O241)+1</f>
        <v>2</v>
      </c>
      <c r="P242" s="74">
        <f>(Q241)</f>
        <v>664591.5</v>
      </c>
      <c r="Q242" s="74">
        <f>(W242*X239)</f>
        <v>1476870</v>
      </c>
      <c r="R242" s="163">
        <v>0.04</v>
      </c>
      <c r="S242" s="74">
        <f>(X239*Y242)</f>
        <v>26583.660000000003</v>
      </c>
      <c r="T242" s="39"/>
      <c r="U242" s="156">
        <f>(U241)+1</f>
        <v>2</v>
      </c>
      <c r="V242" s="164">
        <f>(W241)</f>
        <v>13.5</v>
      </c>
      <c r="W242" s="74">
        <v>30</v>
      </c>
      <c r="X242" s="140">
        <v>0.04</v>
      </c>
      <c r="Y242" s="140">
        <v>0.54</v>
      </c>
    </row>
    <row r="243" spans="4:25" x14ac:dyDescent="0.25">
      <c r="H243" s="93" t="s">
        <v>163</v>
      </c>
      <c r="I243" s="93"/>
      <c r="J243" s="93"/>
      <c r="K243" s="92">
        <f>(E229)</f>
        <v>167391.78092766667</v>
      </c>
      <c r="L243" s="93"/>
      <c r="M243" s="93"/>
      <c r="O243" s="154">
        <f t="shared" ref="O243:O248" si="27">(O242)+1</f>
        <v>3</v>
      </c>
      <c r="P243" s="4">
        <f>(Q242)</f>
        <v>1476870</v>
      </c>
      <c r="Q243" s="4">
        <f>(X239*W243)</f>
        <v>2461450</v>
      </c>
      <c r="R243" s="140">
        <v>0.08</v>
      </c>
      <c r="S243" s="4">
        <f>(X239*Y243)</f>
        <v>85658.46</v>
      </c>
      <c r="U243" s="154">
        <f t="shared" ref="U243:U248" si="28">(U242)+1</f>
        <v>3</v>
      </c>
      <c r="V243" s="4">
        <f>(W242)</f>
        <v>30</v>
      </c>
      <c r="W243" s="4">
        <v>50</v>
      </c>
      <c r="X243" s="140">
        <v>0.08</v>
      </c>
      <c r="Y243" s="140">
        <v>1.74</v>
      </c>
    </row>
    <row r="244" spans="4:25" x14ac:dyDescent="0.25">
      <c r="H244" t="s">
        <v>164</v>
      </c>
      <c r="I244" s="93"/>
      <c r="J244" s="93"/>
      <c r="K244" s="92">
        <f>(E230)</f>
        <v>102335.58659333334</v>
      </c>
      <c r="O244" s="154">
        <f t="shared" si="27"/>
        <v>4</v>
      </c>
      <c r="P244" s="4">
        <f t="shared" ref="P244:P248" si="29">(Q243)</f>
        <v>2461450</v>
      </c>
      <c r="Q244" s="4">
        <f>(X239*W244)</f>
        <v>3446030</v>
      </c>
      <c r="R244">
        <v>0.13500000000000001</v>
      </c>
      <c r="S244" s="4">
        <f>(X239*Y244)</f>
        <v>221038.21000000002</v>
      </c>
      <c r="U244" s="154">
        <f t="shared" si="28"/>
        <v>4</v>
      </c>
      <c r="V244" s="4">
        <f t="shared" ref="V244:V248" si="30">(W243)</f>
        <v>50</v>
      </c>
      <c r="W244" s="4">
        <v>70</v>
      </c>
      <c r="X244">
        <v>0.13500000000000001</v>
      </c>
      <c r="Y244" s="140">
        <v>4.49</v>
      </c>
    </row>
    <row r="245" spans="4:25" x14ac:dyDescent="0.25">
      <c r="I245" s="93" t="s">
        <v>165</v>
      </c>
      <c r="J245" s="93"/>
      <c r="K245" s="92">
        <f>(E231)</f>
        <v>8771.6217080000006</v>
      </c>
      <c r="O245" s="154">
        <f t="shared" si="27"/>
        <v>5</v>
      </c>
      <c r="P245" s="4">
        <f t="shared" si="29"/>
        <v>3446030</v>
      </c>
      <c r="Q245" s="4">
        <f>(X239*W245)</f>
        <v>4430610</v>
      </c>
      <c r="R245">
        <v>0.23</v>
      </c>
      <c r="S245" s="4">
        <f>(X239*Y245)</f>
        <v>548411.06000000006</v>
      </c>
      <c r="U245" s="154">
        <f t="shared" si="28"/>
        <v>5</v>
      </c>
      <c r="V245" s="4">
        <f t="shared" si="30"/>
        <v>70</v>
      </c>
      <c r="W245" s="4">
        <v>90</v>
      </c>
      <c r="X245">
        <v>0.23</v>
      </c>
      <c r="Y245" s="140">
        <v>11.14</v>
      </c>
    </row>
    <row r="246" spans="4:25" x14ac:dyDescent="0.25">
      <c r="I246" s="93" t="s">
        <v>166</v>
      </c>
      <c r="J246" s="93"/>
      <c r="K246" s="92">
        <f>(E238)</f>
        <v>20753.858484173332</v>
      </c>
      <c r="O246" s="154">
        <f t="shared" si="27"/>
        <v>6</v>
      </c>
      <c r="P246" s="4">
        <f t="shared" si="29"/>
        <v>4430610</v>
      </c>
      <c r="Q246" s="4">
        <f>(X239*W246)</f>
        <v>5907480</v>
      </c>
      <c r="R246">
        <v>0.30399999999999999</v>
      </c>
      <c r="S246" s="4">
        <f>(X239*Y246)</f>
        <v>876276.20000000007</v>
      </c>
      <c r="U246" s="154">
        <f t="shared" si="28"/>
        <v>6</v>
      </c>
      <c r="V246" s="4">
        <f t="shared" si="30"/>
        <v>90</v>
      </c>
      <c r="W246" s="4">
        <v>120</v>
      </c>
      <c r="X246">
        <v>0.30399999999999999</v>
      </c>
      <c r="Y246" s="140">
        <v>17.8</v>
      </c>
    </row>
    <row r="247" spans="4:25" x14ac:dyDescent="0.25">
      <c r="I247" s="93"/>
      <c r="J247" s="93"/>
      <c r="K247" s="148">
        <f>SUM(K243:K246)</f>
        <v>299252.84771317331</v>
      </c>
      <c r="O247" s="154">
        <f t="shared" si="27"/>
        <v>7</v>
      </c>
      <c r="P247" s="4">
        <f t="shared" si="29"/>
        <v>5907480</v>
      </c>
      <c r="Q247" s="4">
        <f>(X239*W247)</f>
        <v>7384350</v>
      </c>
      <c r="R247">
        <v>0.35</v>
      </c>
      <c r="S247" s="4">
        <f>(X239*Y247)</f>
        <v>1148020.28</v>
      </c>
      <c r="U247" s="154">
        <f t="shared" si="28"/>
        <v>7</v>
      </c>
      <c r="V247" s="4">
        <f t="shared" si="30"/>
        <v>120</v>
      </c>
      <c r="W247" s="4">
        <v>150</v>
      </c>
      <c r="X247">
        <v>0.35</v>
      </c>
      <c r="Y247" s="140">
        <v>23.32</v>
      </c>
    </row>
    <row r="248" spans="4:25" x14ac:dyDescent="0.25">
      <c r="H248" s="94" t="s">
        <v>334</v>
      </c>
      <c r="I248" s="94"/>
      <c r="J248" s="94"/>
      <c r="K248" s="95">
        <f>(F227)</f>
        <v>1521936.9513333333</v>
      </c>
      <c r="L248" s="95">
        <f>(K247)</f>
        <v>299252.84771317331</v>
      </c>
      <c r="M248" s="95">
        <f>(K248-L248)</f>
        <v>1222684.1036201599</v>
      </c>
      <c r="N248" s="94"/>
      <c r="O248" s="154">
        <f t="shared" si="27"/>
        <v>8</v>
      </c>
      <c r="P248" s="4">
        <f t="shared" si="29"/>
        <v>7384350</v>
      </c>
      <c r="Q248" s="143" t="str">
        <f>(W248)</f>
        <v>Y MÁS</v>
      </c>
      <c r="R248" s="140">
        <v>0.4</v>
      </c>
      <c r="S248" s="4">
        <f>(X239*Y248)</f>
        <v>1911069.78</v>
      </c>
      <c r="U248" s="154">
        <f t="shared" si="28"/>
        <v>8</v>
      </c>
      <c r="V248" s="4">
        <f t="shared" si="30"/>
        <v>150</v>
      </c>
      <c r="W248" s="143" t="s">
        <v>329</v>
      </c>
      <c r="X248" s="140">
        <v>0.4</v>
      </c>
      <c r="Y248" s="140">
        <v>38.82</v>
      </c>
    </row>
    <row r="252" spans="4:25" x14ac:dyDescent="0.25">
      <c r="D252" s="26" t="s">
        <v>140</v>
      </c>
      <c r="E252" s="171" t="s">
        <v>170</v>
      </c>
      <c r="F252" s="171"/>
    </row>
    <row r="253" spans="4:25" x14ac:dyDescent="0.25">
      <c r="D253" s="9" t="s">
        <v>142</v>
      </c>
      <c r="E253" s="9"/>
      <c r="F253" s="9">
        <v>370000</v>
      </c>
      <c r="L253">
        <f>(F253)</f>
        <v>370000</v>
      </c>
      <c r="P253">
        <f>(L253)</f>
        <v>370000</v>
      </c>
    </row>
    <row r="254" spans="4:25" x14ac:dyDescent="0.25">
      <c r="D254" s="9" t="s">
        <v>171</v>
      </c>
      <c r="E254" s="9"/>
      <c r="F254" s="150">
        <v>113364</v>
      </c>
      <c r="H254" s="160">
        <v>301000</v>
      </c>
      <c r="I254" s="9">
        <v>4.75</v>
      </c>
      <c r="J254" s="9">
        <f>(H254*I254)</f>
        <v>1429750</v>
      </c>
      <c r="K254" s="9">
        <v>12</v>
      </c>
      <c r="L254" s="10">
        <f>(J254/K254)</f>
        <v>119145.83333333333</v>
      </c>
      <c r="M254" s="97"/>
      <c r="N254" s="97"/>
      <c r="O254" s="97"/>
      <c r="P254" s="4">
        <f>(L255)</f>
        <v>83454.721000000005</v>
      </c>
    </row>
    <row r="255" spans="4:25" x14ac:dyDescent="0.25">
      <c r="D255" s="8" t="s">
        <v>145</v>
      </c>
      <c r="E255" s="9"/>
      <c r="F255" s="10">
        <f>(L255)</f>
        <v>83454.721000000005</v>
      </c>
      <c r="H255" s="96">
        <f>(F253)</f>
        <v>370000</v>
      </c>
      <c r="I255" s="96">
        <v>7.7777000000000002E-3</v>
      </c>
      <c r="J255" s="96">
        <v>29</v>
      </c>
      <c r="K255" s="150">
        <f>(H255*I255)*J255</f>
        <v>83454.721000000005</v>
      </c>
      <c r="L255" s="149">
        <f>(K255)</f>
        <v>83454.721000000005</v>
      </c>
      <c r="M255" s="97"/>
      <c r="N255" s="97"/>
      <c r="O255" s="97"/>
      <c r="P255" s="4">
        <f>SUM(P253:P254)</f>
        <v>453454.72100000002</v>
      </c>
      <c r="Q255" s="2">
        <v>0.25</v>
      </c>
      <c r="R255" s="4">
        <f>(P255*Q255)</f>
        <v>113363.68025</v>
      </c>
    </row>
    <row r="256" spans="4:25" x14ac:dyDescent="0.25">
      <c r="D256" s="8"/>
      <c r="E256" s="9"/>
      <c r="F256" s="8"/>
      <c r="H256" s="97" t="s">
        <v>340</v>
      </c>
      <c r="I256" s="97"/>
      <c r="J256" s="149"/>
      <c r="K256" s="97" t="s">
        <v>340</v>
      </c>
      <c r="L256" s="97">
        <f>(F256)</f>
        <v>0</v>
      </c>
      <c r="M256" s="97"/>
      <c r="N256" s="97"/>
      <c r="O256" s="97"/>
    </row>
    <row r="257" spans="1:15" x14ac:dyDescent="0.25">
      <c r="D257" s="8" t="s">
        <v>339</v>
      </c>
      <c r="F257" s="8">
        <v>0</v>
      </c>
      <c r="H257" s="97"/>
      <c r="I257" s="97"/>
      <c r="J257" s="97"/>
      <c r="K257" s="97"/>
      <c r="L257" s="149">
        <f>SUM(L253:L256)</f>
        <v>572600.55433333328</v>
      </c>
      <c r="M257" s="2">
        <v>0.25</v>
      </c>
      <c r="N257" s="149">
        <f>(L257*M257)</f>
        <v>143150.13858333332</v>
      </c>
      <c r="O257" s="97"/>
    </row>
    <row r="258" spans="1:15" x14ac:dyDescent="0.25">
      <c r="D258" s="8" t="s">
        <v>151</v>
      </c>
      <c r="F258" s="100">
        <f>SUM(F253:F257)</f>
        <v>566818.72100000002</v>
      </c>
    </row>
    <row r="259" spans="1:15" x14ac:dyDescent="0.25">
      <c r="D259" s="8" t="s">
        <v>148</v>
      </c>
      <c r="F259" s="4">
        <v>0</v>
      </c>
      <c r="H259" s="97" t="s">
        <v>335</v>
      </c>
      <c r="I259" s="97"/>
      <c r="J259" s="149">
        <f>(Q258)</f>
        <v>0</v>
      </c>
      <c r="K259" s="97" t="s">
        <v>336</v>
      </c>
      <c r="L259" s="97"/>
      <c r="M259" s="97">
        <v>119146</v>
      </c>
      <c r="N259" s="97"/>
      <c r="O259" s="97"/>
    </row>
    <row r="260" spans="1:15" x14ac:dyDescent="0.25">
      <c r="D260" s="8" t="s">
        <v>149</v>
      </c>
      <c r="F260" s="4">
        <v>25000</v>
      </c>
      <c r="H260" s="97"/>
      <c r="I260" s="97"/>
      <c r="J260" s="97"/>
      <c r="K260" s="97" t="s">
        <v>172</v>
      </c>
      <c r="L260" s="97"/>
      <c r="M260" s="97"/>
      <c r="N260" s="97"/>
      <c r="O260" s="97"/>
    </row>
    <row r="261" spans="1:15" x14ac:dyDescent="0.25">
      <c r="D261" s="8" t="s">
        <v>150</v>
      </c>
      <c r="F261" s="4">
        <v>35000</v>
      </c>
    </row>
    <row r="262" spans="1:15" x14ac:dyDescent="0.25">
      <c r="D262" s="8" t="s">
        <v>147</v>
      </c>
      <c r="F262" s="100">
        <f>SUM(F258:F261)</f>
        <v>626818.72100000002</v>
      </c>
    </row>
    <row r="263" spans="1:15" x14ac:dyDescent="0.25">
      <c r="D263" s="80" t="s">
        <v>152</v>
      </c>
    </row>
    <row r="264" spans="1:15" x14ac:dyDescent="0.25">
      <c r="D264" s="8" t="s">
        <v>173</v>
      </c>
      <c r="E264" s="85">
        <f>(K264)</f>
        <v>63880.469856700001</v>
      </c>
      <c r="H264" s="86" t="s">
        <v>315</v>
      </c>
      <c r="I264" s="85">
        <f>(F258)</f>
        <v>566818.72100000002</v>
      </c>
      <c r="J264" s="138">
        <v>0.11269999999999999</v>
      </c>
      <c r="K264" s="85">
        <f>(I264*J264)</f>
        <v>63880.469856700001</v>
      </c>
      <c r="L264" s="86"/>
    </row>
    <row r="265" spans="1:15" x14ac:dyDescent="0.25">
      <c r="D265" s="8" t="s">
        <v>174</v>
      </c>
      <c r="E265" s="74">
        <f>(K265)</f>
        <v>39677.310470000004</v>
      </c>
      <c r="F265" s="39"/>
      <c r="G265" s="39"/>
      <c r="H265" s="39" t="s">
        <v>315</v>
      </c>
      <c r="I265" s="74">
        <f>(F258)</f>
        <v>566818.72100000002</v>
      </c>
      <c r="J265" s="151">
        <v>7.0000000000000007E-2</v>
      </c>
      <c r="K265" s="74">
        <f>(I265*J265)</f>
        <v>39677.310470000004</v>
      </c>
      <c r="L265" s="39"/>
    </row>
    <row r="266" spans="1:15" x14ac:dyDescent="0.25">
      <c r="D266" s="8" t="s">
        <v>158</v>
      </c>
      <c r="E266" s="84">
        <v>0</v>
      </c>
      <c r="H266" s="83" t="s">
        <v>175</v>
      </c>
      <c r="I266" s="83"/>
      <c r="J266" s="83"/>
      <c r="K266" s="83"/>
      <c r="L266" s="83"/>
      <c r="M266" s="83"/>
      <c r="N266" s="83"/>
      <c r="O266" s="83"/>
    </row>
    <row r="267" spans="1:15" x14ac:dyDescent="0.25">
      <c r="D267" s="87" t="s">
        <v>159</v>
      </c>
      <c r="E267" s="4"/>
    </row>
    <row r="268" spans="1:15" x14ac:dyDescent="0.25">
      <c r="A268" s="197" t="s">
        <v>151</v>
      </c>
      <c r="B268" s="197"/>
      <c r="C268" s="197"/>
      <c r="D268" s="4">
        <f>(F258)</f>
        <v>566818.72100000002</v>
      </c>
    </row>
    <row r="269" spans="1:15" x14ac:dyDescent="0.25">
      <c r="A269" s="198" t="s">
        <v>319</v>
      </c>
      <c r="B269" s="198"/>
      <c r="C269" s="198"/>
      <c r="D269" s="24">
        <f>(E264+E265+E266)</f>
        <v>103557.78032670001</v>
      </c>
    </row>
    <row r="270" spans="1:15" x14ac:dyDescent="0.25">
      <c r="A270" s="198" t="s">
        <v>160</v>
      </c>
      <c r="B270" s="198"/>
      <c r="C270" s="198"/>
      <c r="D270" s="142">
        <f>(D268-D269)</f>
        <v>463260.94067330001</v>
      </c>
    </row>
    <row r="271" spans="1:15" x14ac:dyDescent="0.25">
      <c r="A271" s="198" t="s">
        <v>320</v>
      </c>
      <c r="B271" s="198"/>
      <c r="C271" s="198"/>
      <c r="D271" s="17">
        <f>(M275)</f>
        <v>0</v>
      </c>
      <c r="H271" s="89" t="s">
        <v>337</v>
      </c>
      <c r="I271" s="89"/>
      <c r="J271" s="89"/>
      <c r="K271" s="89"/>
      <c r="L271" s="144">
        <v>664582</v>
      </c>
      <c r="M271" s="89"/>
    </row>
    <row r="272" spans="1:15" x14ac:dyDescent="0.25">
      <c r="A272" s="198" t="s">
        <v>325</v>
      </c>
      <c r="B272" s="198"/>
      <c r="C272" s="198"/>
      <c r="D272" s="146">
        <f>(M276)</f>
        <v>0</v>
      </c>
    </row>
    <row r="273" spans="1:6" x14ac:dyDescent="0.25">
      <c r="A273" s="198" t="s">
        <v>332</v>
      </c>
      <c r="B273" s="198"/>
      <c r="C273" s="198"/>
      <c r="D273" s="147">
        <f>(D271-D272)</f>
        <v>0</v>
      </c>
      <c r="E273" s="91">
        <v>0</v>
      </c>
    </row>
    <row r="274" spans="1:6" x14ac:dyDescent="0.25">
      <c r="D274" t="s">
        <v>162</v>
      </c>
      <c r="F274" s="92">
        <f>(E264+E265+E266+E273)</f>
        <v>103557.78032670001</v>
      </c>
    </row>
    <row r="275" spans="1:6" x14ac:dyDescent="0.25">
      <c r="D275" s="94" t="s">
        <v>167</v>
      </c>
      <c r="E275" s="94"/>
      <c r="F275" s="95">
        <f>(F262-F274)</f>
        <v>523260.94067330001</v>
      </c>
    </row>
    <row r="276" spans="1:6" x14ac:dyDescent="0.25">
      <c r="D276" t="s">
        <v>168</v>
      </c>
      <c r="F276">
        <v>200000</v>
      </c>
    </row>
    <row r="277" spans="1:6" x14ac:dyDescent="0.25">
      <c r="D277" t="s">
        <v>169</v>
      </c>
      <c r="F277" s="4">
        <f>(F275-F276)</f>
        <v>323260.94067330001</v>
      </c>
    </row>
    <row r="280" spans="1:6" x14ac:dyDescent="0.25">
      <c r="D280" s="98" t="s">
        <v>176</v>
      </c>
    </row>
    <row r="281" spans="1:6" x14ac:dyDescent="0.25">
      <c r="C281" t="s">
        <v>51</v>
      </c>
      <c r="D281" s="98" t="s">
        <v>177</v>
      </c>
    </row>
    <row r="282" spans="1:6" x14ac:dyDescent="0.25">
      <c r="D282" t="s">
        <v>178</v>
      </c>
      <c r="E282" s="4">
        <f>(F223)</f>
        <v>1461936.9513333333</v>
      </c>
    </row>
    <row r="283" spans="1:6" x14ac:dyDescent="0.25">
      <c r="D283" t="s">
        <v>179</v>
      </c>
      <c r="E283" s="152">
        <f>(F258)</f>
        <v>566818.72100000002</v>
      </c>
    </row>
    <row r="284" spans="1:6" x14ac:dyDescent="0.25">
      <c r="D284" t="s">
        <v>180</v>
      </c>
      <c r="E284" s="4">
        <f>SUM(E282:E283)</f>
        <v>2028755.6723333332</v>
      </c>
    </row>
    <row r="285" spans="1:6" x14ac:dyDescent="0.25">
      <c r="D285" t="s">
        <v>181</v>
      </c>
      <c r="E285" s="4">
        <f>(E284*2.63%)</f>
        <v>53356.274182366666</v>
      </c>
      <c r="F285" t="s">
        <v>182</v>
      </c>
    </row>
    <row r="286" spans="1:6" x14ac:dyDescent="0.25">
      <c r="E286" s="4"/>
    </row>
    <row r="287" spans="1:6" x14ac:dyDescent="0.25">
      <c r="C287" t="s">
        <v>101</v>
      </c>
      <c r="D287" s="98" t="s">
        <v>183</v>
      </c>
      <c r="E287" s="4"/>
    </row>
    <row r="288" spans="1:6" x14ac:dyDescent="0.25">
      <c r="D288" t="s">
        <v>178</v>
      </c>
      <c r="E288" s="4">
        <f>(E282)</f>
        <v>1461936.9513333333</v>
      </c>
    </row>
    <row r="289" spans="3:9" x14ac:dyDescent="0.25">
      <c r="D289" t="s">
        <v>179</v>
      </c>
      <c r="E289" s="152">
        <f>(E283)</f>
        <v>566818.72100000002</v>
      </c>
    </row>
    <row r="290" spans="3:9" x14ac:dyDescent="0.25">
      <c r="D290" t="s">
        <v>180</v>
      </c>
      <c r="E290" s="4">
        <f>SUM(E288:E289)</f>
        <v>2028755.6723333332</v>
      </c>
    </row>
    <row r="291" spans="3:9" x14ac:dyDescent="0.25">
      <c r="D291" t="s">
        <v>184</v>
      </c>
      <c r="E291" s="4">
        <f>(E290*1.53%)</f>
        <v>31039.961786700002</v>
      </c>
      <c r="F291" t="s">
        <v>185</v>
      </c>
    </row>
    <row r="292" spans="3:9" x14ac:dyDescent="0.25">
      <c r="E292" s="4"/>
    </row>
    <row r="293" spans="3:9" x14ac:dyDescent="0.25">
      <c r="C293" t="s">
        <v>57</v>
      </c>
      <c r="D293" s="98" t="s">
        <v>186</v>
      </c>
      <c r="E293" s="4"/>
    </row>
    <row r="294" spans="3:9" x14ac:dyDescent="0.25">
      <c r="D294" t="s">
        <v>178</v>
      </c>
      <c r="E294" s="4">
        <f>(E288)</f>
        <v>1461936.9513333333</v>
      </c>
      <c r="F294" s="99">
        <v>2.4E-2</v>
      </c>
      <c r="G294" s="4">
        <f>(E294*F294)</f>
        <v>35086.486832000002</v>
      </c>
      <c r="I294" t="s">
        <v>187</v>
      </c>
    </row>
    <row r="295" spans="3:9" x14ac:dyDescent="0.25">
      <c r="D295" t="s">
        <v>179</v>
      </c>
      <c r="E295" s="152">
        <f>(E289)</f>
        <v>566818.72100000002</v>
      </c>
      <c r="F295" s="99">
        <v>0.03</v>
      </c>
      <c r="G295" s="4">
        <f>(E295*F295)</f>
        <v>17004.56163</v>
      </c>
      <c r="I295" t="s">
        <v>188</v>
      </c>
    </row>
    <row r="296" spans="3:9" x14ac:dyDescent="0.25">
      <c r="D296" t="s">
        <v>180</v>
      </c>
      <c r="E296" s="4">
        <f>SUM(E294:E295)</f>
        <v>2028755.6723333332</v>
      </c>
      <c r="G296" s="4"/>
    </row>
    <row r="297" spans="3:9" x14ac:dyDescent="0.25">
      <c r="D297" t="s">
        <v>189</v>
      </c>
      <c r="E297" s="4"/>
      <c r="G297" s="100">
        <f>SUM(G294:G296)</f>
        <v>52091.048462000006</v>
      </c>
    </row>
    <row r="298" spans="3:9" x14ac:dyDescent="0.25">
      <c r="E298" s="4"/>
    </row>
    <row r="299" spans="3:9" x14ac:dyDescent="0.25">
      <c r="E299" s="4"/>
    </row>
    <row r="300" spans="3:9" x14ac:dyDescent="0.25">
      <c r="D300" s="98" t="s">
        <v>190</v>
      </c>
      <c r="E300" s="4"/>
    </row>
    <row r="301" spans="3:9" x14ac:dyDescent="0.25">
      <c r="C301">
        <v>1</v>
      </c>
      <c r="D301" s="1" t="s">
        <v>142</v>
      </c>
      <c r="E301" s="6">
        <f>(F253+F218)</f>
        <v>890000</v>
      </c>
      <c r="F301" s="1"/>
      <c r="I301" t="s">
        <v>207</v>
      </c>
    </row>
    <row r="302" spans="3:9" x14ac:dyDescent="0.25">
      <c r="C302">
        <f>(C301)+1</f>
        <v>2</v>
      </c>
      <c r="D302" s="1" t="s">
        <v>143</v>
      </c>
      <c r="E302" s="6">
        <f>(F219+F254)</f>
        <v>232509.83333333331</v>
      </c>
      <c r="F302" s="1"/>
      <c r="I302" t="s">
        <v>207</v>
      </c>
    </row>
    <row r="303" spans="3:9" x14ac:dyDescent="0.25">
      <c r="C303">
        <f t="shared" ref="C303:C321" si="31">(C302)+1</f>
        <v>3</v>
      </c>
      <c r="D303" s="1" t="s">
        <v>145</v>
      </c>
      <c r="E303" s="6">
        <f>(F220+F255)</f>
        <v>152209.58900000001</v>
      </c>
      <c r="F303" s="1"/>
      <c r="I303" t="s">
        <v>207</v>
      </c>
    </row>
    <row r="304" spans="3:9" x14ac:dyDescent="0.25">
      <c r="C304">
        <f t="shared" si="31"/>
        <v>4</v>
      </c>
      <c r="D304" s="1" t="s">
        <v>191</v>
      </c>
      <c r="E304" s="6">
        <f>(F221)</f>
        <v>754036.25</v>
      </c>
      <c r="F304" s="1"/>
      <c r="I304" t="s">
        <v>207</v>
      </c>
    </row>
    <row r="305" spans="3:14" x14ac:dyDescent="0.25">
      <c r="C305">
        <f t="shared" si="31"/>
        <v>5</v>
      </c>
      <c r="D305" s="1" t="s">
        <v>192</v>
      </c>
      <c r="E305" s="6">
        <v>0</v>
      </c>
      <c r="F305" s="1"/>
      <c r="I305" t="s">
        <v>207</v>
      </c>
    </row>
    <row r="306" spans="3:14" x14ac:dyDescent="0.25">
      <c r="C306">
        <f t="shared" si="31"/>
        <v>6</v>
      </c>
      <c r="D306" s="1" t="s">
        <v>149</v>
      </c>
      <c r="E306" s="6">
        <f>(F225+F260)</f>
        <v>60000</v>
      </c>
      <c r="F306" s="1"/>
      <c r="I306" t="s">
        <v>207</v>
      </c>
    </row>
    <row r="307" spans="3:14" x14ac:dyDescent="0.25">
      <c r="C307">
        <f t="shared" si="31"/>
        <v>7</v>
      </c>
      <c r="D307" s="1" t="s">
        <v>150</v>
      </c>
      <c r="E307" s="6">
        <f>(F226+F261)</f>
        <v>60000</v>
      </c>
      <c r="F307" s="1"/>
      <c r="I307" t="s">
        <v>207</v>
      </c>
    </row>
    <row r="308" spans="3:14" x14ac:dyDescent="0.25">
      <c r="C308">
        <f t="shared" si="31"/>
        <v>8</v>
      </c>
      <c r="D308" s="1" t="s">
        <v>197</v>
      </c>
      <c r="E308" s="38">
        <f>(E285)</f>
        <v>53356.274182366666</v>
      </c>
      <c r="F308" s="1"/>
      <c r="I308" t="s">
        <v>207</v>
      </c>
    </row>
    <row r="309" spans="3:14" x14ac:dyDescent="0.25">
      <c r="C309">
        <f t="shared" si="31"/>
        <v>9</v>
      </c>
      <c r="D309" s="1" t="s">
        <v>198</v>
      </c>
      <c r="E309" s="6">
        <f>(E291)</f>
        <v>31039.961786700002</v>
      </c>
      <c r="F309" s="1"/>
      <c r="I309" t="s">
        <v>207</v>
      </c>
    </row>
    <row r="310" spans="3:14" x14ac:dyDescent="0.25">
      <c r="C310">
        <f t="shared" si="31"/>
        <v>10</v>
      </c>
      <c r="D310" s="1" t="s">
        <v>199</v>
      </c>
      <c r="E310" s="6">
        <f>(G297)</f>
        <v>52091.048462000006</v>
      </c>
      <c r="F310" s="1"/>
      <c r="I310" t="s">
        <v>207</v>
      </c>
    </row>
    <row r="311" spans="3:14" x14ac:dyDescent="0.25">
      <c r="C311">
        <f t="shared" si="31"/>
        <v>11</v>
      </c>
      <c r="D311" s="54" t="s">
        <v>65</v>
      </c>
      <c r="E311" s="6"/>
      <c r="F311" s="6">
        <f>(E229)</f>
        <v>167391.78092766667</v>
      </c>
      <c r="H311" t="s">
        <v>195</v>
      </c>
      <c r="N311" t="s">
        <v>208</v>
      </c>
    </row>
    <row r="312" spans="3:14" x14ac:dyDescent="0.25">
      <c r="C312">
        <f t="shared" si="31"/>
        <v>12</v>
      </c>
      <c r="D312" s="54" t="s">
        <v>193</v>
      </c>
      <c r="E312" s="6"/>
      <c r="F312" s="6">
        <f>(E264)</f>
        <v>63880.469856700001</v>
      </c>
      <c r="H312" t="s">
        <v>170</v>
      </c>
      <c r="N312" t="s">
        <v>208</v>
      </c>
    </row>
    <row r="313" spans="3:14" x14ac:dyDescent="0.25">
      <c r="C313">
        <f t="shared" si="31"/>
        <v>13</v>
      </c>
      <c r="D313" s="54" t="s">
        <v>194</v>
      </c>
      <c r="E313" s="6"/>
      <c r="F313" s="6">
        <f>(E265)</f>
        <v>39677.310470000004</v>
      </c>
      <c r="H313" t="s">
        <v>170</v>
      </c>
      <c r="N313" t="s">
        <v>208</v>
      </c>
    </row>
    <row r="314" spans="3:14" x14ac:dyDescent="0.25">
      <c r="C314">
        <f t="shared" si="31"/>
        <v>14</v>
      </c>
      <c r="D314" s="54" t="s">
        <v>154</v>
      </c>
      <c r="E314" s="6"/>
      <c r="F314" s="6">
        <f>(E230)</f>
        <v>102335.58659333334</v>
      </c>
      <c r="H314" t="s">
        <v>195</v>
      </c>
      <c r="N314" t="s">
        <v>208</v>
      </c>
    </row>
    <row r="315" spans="3:14" x14ac:dyDescent="0.25">
      <c r="C315">
        <f t="shared" si="31"/>
        <v>15</v>
      </c>
      <c r="D315" s="54" t="s">
        <v>203</v>
      </c>
      <c r="E315" s="6"/>
      <c r="F315" s="6">
        <f>(E231)</f>
        <v>8771.6217080000006</v>
      </c>
      <c r="H315" t="s">
        <v>204</v>
      </c>
      <c r="N315" t="s">
        <v>208</v>
      </c>
    </row>
    <row r="316" spans="3:14" x14ac:dyDescent="0.25">
      <c r="C316">
        <f t="shared" si="31"/>
        <v>16</v>
      </c>
      <c r="D316" s="54" t="s">
        <v>211</v>
      </c>
      <c r="E316" s="6"/>
      <c r="F316" s="38">
        <f>(E308)</f>
        <v>53356.274182366666</v>
      </c>
      <c r="H316" t="s">
        <v>200</v>
      </c>
      <c r="N316" t="s">
        <v>208</v>
      </c>
    </row>
    <row r="317" spans="3:14" x14ac:dyDescent="0.25">
      <c r="C317">
        <f t="shared" si="31"/>
        <v>17</v>
      </c>
      <c r="D317" s="54" t="s">
        <v>196</v>
      </c>
      <c r="E317" s="6"/>
      <c r="F317" s="6">
        <f>(E238)</f>
        <v>20753.858484173332</v>
      </c>
      <c r="H317" t="s">
        <v>205</v>
      </c>
      <c r="N317" t="s">
        <v>208</v>
      </c>
    </row>
    <row r="318" spans="3:14" x14ac:dyDescent="0.25">
      <c r="C318">
        <f t="shared" si="31"/>
        <v>18</v>
      </c>
      <c r="D318" s="54" t="s">
        <v>201</v>
      </c>
      <c r="E318" s="6"/>
      <c r="F318" s="6">
        <f>(E309)</f>
        <v>31039.961786700002</v>
      </c>
      <c r="H318" t="s">
        <v>206</v>
      </c>
      <c r="N318" t="s">
        <v>208</v>
      </c>
    </row>
    <row r="319" spans="3:14" x14ac:dyDescent="0.25">
      <c r="C319">
        <f t="shared" si="31"/>
        <v>19</v>
      </c>
      <c r="D319" s="54" t="s">
        <v>202</v>
      </c>
      <c r="E319" s="6"/>
      <c r="F319" s="6">
        <f>(E310)</f>
        <v>52091.048462000006</v>
      </c>
      <c r="H319" t="s">
        <v>206</v>
      </c>
      <c r="N319" t="s">
        <v>208</v>
      </c>
    </row>
    <row r="320" spans="3:14" x14ac:dyDescent="0.25">
      <c r="C320">
        <f t="shared" si="31"/>
        <v>20</v>
      </c>
      <c r="D320" s="54" t="s">
        <v>209</v>
      </c>
      <c r="E320" s="6"/>
      <c r="F320" s="1">
        <f>(F241+F276)</f>
        <v>550000</v>
      </c>
    </row>
    <row r="321" spans="3:11" x14ac:dyDescent="0.25">
      <c r="C321">
        <f t="shared" si="31"/>
        <v>21</v>
      </c>
      <c r="D321" s="54" t="s">
        <v>2</v>
      </c>
      <c r="E321" s="6"/>
      <c r="F321" s="6">
        <f>(F242+F277)</f>
        <v>1195945.04429346</v>
      </c>
      <c r="H321" t="s">
        <v>210</v>
      </c>
    </row>
    <row r="322" spans="3:11" x14ac:dyDescent="0.25">
      <c r="D322" s="81"/>
      <c r="E322" s="4">
        <f>SUM(E301:E321)</f>
        <v>2285242.9567644</v>
      </c>
      <c r="F322" s="4">
        <f>SUM(F301:F321)</f>
        <v>2285242.9567644</v>
      </c>
      <c r="G322" s="4">
        <f>(E322-F322)</f>
        <v>0</v>
      </c>
    </row>
    <row r="323" spans="3:11" x14ac:dyDescent="0.25">
      <c r="E323" s="4"/>
    </row>
    <row r="325" spans="3:11" x14ac:dyDescent="0.25">
      <c r="C325" s="32"/>
      <c r="D325" s="32" t="s">
        <v>277</v>
      </c>
      <c r="E325" s="32"/>
      <c r="F325" s="172" t="s">
        <v>279</v>
      </c>
      <c r="G325" s="172"/>
      <c r="H325" s="172"/>
      <c r="I325" s="172" t="s">
        <v>280</v>
      </c>
      <c r="J325" s="172"/>
      <c r="K325" s="172"/>
    </row>
    <row r="326" spans="3:11" x14ac:dyDescent="0.25">
      <c r="C326" s="120">
        <v>43771</v>
      </c>
      <c r="D326" s="32" t="s">
        <v>278</v>
      </c>
      <c r="E326" s="32"/>
      <c r="F326" s="32"/>
      <c r="G326" s="32"/>
      <c r="H326" s="32">
        <f>(F326)</f>
        <v>0</v>
      </c>
      <c r="I326" s="32">
        <f>(E326*F326)</f>
        <v>0</v>
      </c>
      <c r="J326" s="32"/>
      <c r="K326" s="32">
        <f>(I326)</f>
        <v>0</v>
      </c>
    </row>
    <row r="327" spans="3:11" x14ac:dyDescent="0.25">
      <c r="C327" s="120">
        <v>43772</v>
      </c>
      <c r="D327" s="32" t="s">
        <v>281</v>
      </c>
      <c r="E327" s="32"/>
      <c r="F327" s="32"/>
      <c r="G327" s="32"/>
      <c r="H327" s="32">
        <f>(H326+F327-G327)</f>
        <v>0</v>
      </c>
      <c r="I327" s="32"/>
      <c r="J327" s="32">
        <f>(J333)</f>
        <v>0</v>
      </c>
      <c r="K327" s="32">
        <f>(K326+I327-J327)</f>
        <v>0</v>
      </c>
    </row>
    <row r="328" spans="3:11" x14ac:dyDescent="0.25">
      <c r="C328" s="120"/>
      <c r="D328" s="32"/>
      <c r="E328" s="32"/>
      <c r="F328" s="32"/>
      <c r="G328" s="32"/>
      <c r="H328" s="32"/>
      <c r="I328" s="32"/>
      <c r="J328" s="32"/>
      <c r="K328" s="32"/>
    </row>
    <row r="329" spans="3:11" x14ac:dyDescent="0.25">
      <c r="C329" s="120"/>
      <c r="D329" s="32"/>
      <c r="E329" s="32"/>
      <c r="F329" s="32"/>
      <c r="G329" s="32"/>
      <c r="H329" s="32"/>
      <c r="I329" s="32"/>
      <c r="J329" s="32"/>
      <c r="K329" s="32"/>
    </row>
    <row r="330" spans="3:11" x14ac:dyDescent="0.25">
      <c r="C330" s="32"/>
      <c r="D330" s="32"/>
      <c r="E330" s="32"/>
      <c r="F330" s="32"/>
      <c r="G330" s="32"/>
      <c r="H330" s="32"/>
      <c r="I330" s="32"/>
      <c r="J330" s="32">
        <f>SUM(J326:J329)</f>
        <v>0</v>
      </c>
      <c r="K330" s="32"/>
    </row>
    <row r="333" spans="3:11" x14ac:dyDescent="0.25">
      <c r="I333">
        <f>(E326)</f>
        <v>0</v>
      </c>
      <c r="J333">
        <f>(H333*I333)</f>
        <v>0</v>
      </c>
    </row>
    <row r="341" spans="6:15" x14ac:dyDescent="0.25">
      <c r="F341" s="99"/>
      <c r="I341" s="2"/>
      <c r="N341" s="4"/>
      <c r="O341" s="4"/>
    </row>
  </sheetData>
  <mergeCells count="110">
    <mergeCell ref="A273:C273"/>
    <mergeCell ref="O238:S238"/>
    <mergeCell ref="U238:Y238"/>
    <mergeCell ref="P239:Q239"/>
    <mergeCell ref="V239:W239"/>
    <mergeCell ref="A238:C238"/>
    <mergeCell ref="A268:C268"/>
    <mergeCell ref="A269:C269"/>
    <mergeCell ref="A270:C270"/>
    <mergeCell ref="A271:C271"/>
    <mergeCell ref="A272:C272"/>
    <mergeCell ref="A233:C233"/>
    <mergeCell ref="A234:C234"/>
    <mergeCell ref="A235:C235"/>
    <mergeCell ref="A236:C236"/>
    <mergeCell ref="A237:C237"/>
    <mergeCell ref="M89:N89"/>
    <mergeCell ref="O89:R89"/>
    <mergeCell ref="M90:N90"/>
    <mergeCell ref="O90:R90"/>
    <mergeCell ref="M91:W91"/>
    <mergeCell ref="A92:B92"/>
    <mergeCell ref="D92:H92"/>
    <mergeCell ref="M92:O92"/>
    <mergeCell ref="R92:S92"/>
    <mergeCell ref="T92:U92"/>
    <mergeCell ref="V92:W92"/>
    <mergeCell ref="A93:B93"/>
    <mergeCell ref="E93:F93"/>
    <mergeCell ref="G93:H93"/>
    <mergeCell ref="I93:J93"/>
    <mergeCell ref="M93:O93"/>
    <mergeCell ref="M94:O94"/>
    <mergeCell ref="M95:O95"/>
    <mergeCell ref="M96:O96"/>
    <mergeCell ref="T90:W90"/>
    <mergeCell ref="H59:I59"/>
    <mergeCell ref="D67:H67"/>
    <mergeCell ref="J78:O78"/>
    <mergeCell ref="J79:O79"/>
    <mergeCell ref="M88:W88"/>
    <mergeCell ref="E2:H2"/>
    <mergeCell ref="D3:K3"/>
    <mergeCell ref="D4:F4"/>
    <mergeCell ref="G5:J5"/>
    <mergeCell ref="J22:L22"/>
    <mergeCell ref="D29:L29"/>
    <mergeCell ref="H31:I31"/>
    <mergeCell ref="H32:I32"/>
    <mergeCell ref="I37:J37"/>
    <mergeCell ref="D39:L39"/>
    <mergeCell ref="D40:L40"/>
    <mergeCell ref="D42:O42"/>
    <mergeCell ref="I47:J47"/>
    <mergeCell ref="H54:I54"/>
    <mergeCell ref="D56:G56"/>
    <mergeCell ref="J56:L56"/>
    <mergeCell ref="H55:I55"/>
    <mergeCell ref="M97:O97"/>
    <mergeCell ref="M98:O98"/>
    <mergeCell ref="M99:O99"/>
    <mergeCell ref="M100:O100"/>
    <mergeCell ref="M101:O101"/>
    <mergeCell ref="M102:O102"/>
    <mergeCell ref="M103:O103"/>
    <mergeCell ref="M104:O104"/>
    <mergeCell ref="M105:O105"/>
    <mergeCell ref="M106:O106"/>
    <mergeCell ref="M107:O107"/>
    <mergeCell ref="M108:O108"/>
    <mergeCell ref="M109:O109"/>
    <mergeCell ref="M110:O110"/>
    <mergeCell ref="M111:O111"/>
    <mergeCell ref="M112:O112"/>
    <mergeCell ref="M113:O113"/>
    <mergeCell ref="M114:O114"/>
    <mergeCell ref="M115:O115"/>
    <mergeCell ref="M116:O116"/>
    <mergeCell ref="M117:O117"/>
    <mergeCell ref="M118:O118"/>
    <mergeCell ref="M119:O119"/>
    <mergeCell ref="M120:O120"/>
    <mergeCell ref="M121:O121"/>
    <mergeCell ref="M122:O122"/>
    <mergeCell ref="M123:O123"/>
    <mergeCell ref="M124:O124"/>
    <mergeCell ref="M125:O125"/>
    <mergeCell ref="M126:O126"/>
    <mergeCell ref="M127:O127"/>
    <mergeCell ref="M128:O128"/>
    <mergeCell ref="M129:O129"/>
    <mergeCell ref="M130:O130"/>
    <mergeCell ref="M131:O131"/>
    <mergeCell ref="M132:O132"/>
    <mergeCell ref="M142:O142"/>
    <mergeCell ref="M143:O143"/>
    <mergeCell ref="M144:O144"/>
    <mergeCell ref="E217:F217"/>
    <mergeCell ref="E252:F252"/>
    <mergeCell ref="F325:H325"/>
    <mergeCell ref="I325:K325"/>
    <mergeCell ref="M133:O133"/>
    <mergeCell ref="M134:O134"/>
    <mergeCell ref="M135:O135"/>
    <mergeCell ref="M136:O136"/>
    <mergeCell ref="M137:O137"/>
    <mergeCell ref="M138:O138"/>
    <mergeCell ref="M139:O139"/>
    <mergeCell ref="M140:O140"/>
    <mergeCell ref="M141:O141"/>
  </mergeCells>
  <pageMargins left="0.11811023622047245" right="0.11811023622047245" top="0.11811023622047245" bottom="0.11811023622047245" header="0.31496062992125984" footer="0.31496062992125984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5"/>
  <sheetViews>
    <sheetView tabSelected="1" topLeftCell="D49" workbookViewId="0">
      <selection activeCell="K106" sqref="K106"/>
    </sheetView>
  </sheetViews>
  <sheetFormatPr baseColWidth="10" defaultRowHeight="15" x14ac:dyDescent="0.25"/>
  <cols>
    <col min="1" max="1" width="5.85546875" customWidth="1"/>
    <col min="2" max="2" width="6.28515625" customWidth="1"/>
    <col min="3" max="3" width="7.28515625" customWidth="1"/>
    <col min="4" max="4" width="39.28515625" customWidth="1"/>
    <col min="5" max="5" width="13.42578125" customWidth="1"/>
    <col min="7" max="7" width="15" customWidth="1"/>
    <col min="8" max="9" width="11.42578125" customWidth="1"/>
    <col min="10" max="10" width="15.5703125" customWidth="1"/>
    <col min="11" max="11" width="14.42578125" customWidth="1"/>
    <col min="12" max="12" width="13.28515625" customWidth="1"/>
    <col min="13" max="13" width="14.42578125" customWidth="1"/>
    <col min="14" max="14" width="11.42578125" customWidth="1"/>
    <col min="16" max="16" width="12.5703125" bestFit="1" customWidth="1"/>
    <col min="17" max="19" width="12.7109375" bestFit="1" customWidth="1"/>
    <col min="20" max="20" width="11.5703125" bestFit="1" customWidth="1"/>
    <col min="21" max="21" width="12.7109375" bestFit="1" customWidth="1"/>
    <col min="22" max="23" width="11.5703125" bestFit="1" customWidth="1"/>
    <col min="32" max="32" width="18.28515625" customWidth="1"/>
  </cols>
  <sheetData>
    <row r="1" spans="3:11" ht="15.75" thickBot="1" x14ac:dyDescent="0.3"/>
    <row r="2" spans="3:11" ht="15.75" thickBot="1" x14ac:dyDescent="0.3">
      <c r="C2" t="s">
        <v>72</v>
      </c>
      <c r="E2" s="187" t="s">
        <v>128</v>
      </c>
      <c r="F2" s="188"/>
      <c r="G2" s="188"/>
      <c r="H2" s="189"/>
      <c r="I2" t="s">
        <v>418</v>
      </c>
    </row>
    <row r="3" spans="3:11" x14ac:dyDescent="0.25">
      <c r="C3" s="39" t="s">
        <v>52</v>
      </c>
      <c r="D3" s="190" t="s">
        <v>406</v>
      </c>
      <c r="E3" s="190"/>
      <c r="F3" s="190"/>
      <c r="G3" s="190"/>
      <c r="H3" s="190"/>
      <c r="I3" s="190"/>
      <c r="J3" s="190"/>
      <c r="K3" s="190"/>
    </row>
    <row r="4" spans="3:11" x14ac:dyDescent="0.25">
      <c r="D4" s="191" t="s">
        <v>289</v>
      </c>
      <c r="E4" s="191"/>
      <c r="F4" s="191"/>
    </row>
    <row r="5" spans="3:11" x14ac:dyDescent="0.25">
      <c r="G5" s="191" t="s">
        <v>41</v>
      </c>
      <c r="H5" s="191"/>
      <c r="I5" s="191"/>
      <c r="J5" s="191"/>
    </row>
    <row r="6" spans="3:11" x14ac:dyDescent="0.25">
      <c r="D6" s="1" t="s">
        <v>293</v>
      </c>
    </row>
    <row r="7" spans="3:11" x14ac:dyDescent="0.25">
      <c r="C7" s="1">
        <v>235</v>
      </c>
      <c r="D7" s="1" t="s">
        <v>37</v>
      </c>
      <c r="E7" s="1">
        <v>35355</v>
      </c>
      <c r="F7" s="1">
        <f>(C7*E7)</f>
        <v>8308425</v>
      </c>
    </row>
    <row r="8" spans="3:11" x14ac:dyDescent="0.25">
      <c r="C8" s="1"/>
      <c r="D8" s="13" t="s">
        <v>39</v>
      </c>
      <c r="E8" s="1"/>
      <c r="F8" s="1"/>
      <c r="H8" t="s">
        <v>40</v>
      </c>
    </row>
    <row r="9" spans="3:11" x14ac:dyDescent="0.25">
      <c r="C9" s="1"/>
      <c r="D9" s="1" t="s">
        <v>38</v>
      </c>
      <c r="E9" s="1"/>
      <c r="F9" s="1">
        <f>SUM(F7:F7)</f>
        <v>8308425</v>
      </c>
      <c r="G9" t="s">
        <v>294</v>
      </c>
      <c r="H9" s="3">
        <v>43834</v>
      </c>
      <c r="I9" s="3"/>
    </row>
    <row r="10" spans="3:11" x14ac:dyDescent="0.25">
      <c r="C10" s="1"/>
      <c r="D10" s="1" t="s">
        <v>1</v>
      </c>
      <c r="E10" s="1"/>
      <c r="F10" s="6">
        <f>(F9*19%)</f>
        <v>1578600.75</v>
      </c>
      <c r="G10" s="2">
        <v>0.45</v>
      </c>
      <c r="H10" s="2">
        <v>0.55000000000000004</v>
      </c>
      <c r="I10" s="2"/>
    </row>
    <row r="11" spans="3:11" x14ac:dyDescent="0.25">
      <c r="C11" s="1"/>
      <c r="D11" s="1" t="s">
        <v>0</v>
      </c>
      <c r="E11" s="1"/>
      <c r="F11" s="6">
        <f>(F9+F10)</f>
        <v>9887025.75</v>
      </c>
      <c r="G11" s="41">
        <f>(F11*G10)</f>
        <v>4449161.5875000004</v>
      </c>
      <c r="H11" s="41">
        <f>(F11*H10)</f>
        <v>5437864.1625000006</v>
      </c>
      <c r="I11" s="4">
        <f>(F11-G11-H11)</f>
        <v>-9.3132257461547852E-10</v>
      </c>
      <c r="J11" s="67"/>
    </row>
    <row r="12" spans="3:11" x14ac:dyDescent="0.25">
      <c r="G12" s="42"/>
      <c r="H12" s="42"/>
    </row>
    <row r="13" spans="3:11" x14ac:dyDescent="0.25">
      <c r="G13" s="42"/>
      <c r="H13" s="42"/>
    </row>
    <row r="14" spans="3:11" x14ac:dyDescent="0.25">
      <c r="G14" s="191" t="s">
        <v>41</v>
      </c>
      <c r="H14" s="191"/>
      <c r="I14" s="191"/>
      <c r="J14" s="191"/>
    </row>
    <row r="15" spans="3:11" x14ac:dyDescent="0.25">
      <c r="D15" s="1" t="s">
        <v>300</v>
      </c>
    </row>
    <row r="16" spans="3:11" x14ac:dyDescent="0.25">
      <c r="C16" s="1">
        <v>15</v>
      </c>
      <c r="D16" s="1" t="s">
        <v>301</v>
      </c>
      <c r="E16" s="1">
        <v>3955</v>
      </c>
      <c r="F16" s="1">
        <f>(C16*E16)</f>
        <v>59325</v>
      </c>
    </row>
    <row r="17" spans="3:13" x14ac:dyDescent="0.25">
      <c r="C17" s="1"/>
      <c r="D17" s="13" t="s">
        <v>302</v>
      </c>
      <c r="E17" s="1"/>
      <c r="F17" s="1"/>
      <c r="H17" s="42"/>
      <c r="I17" s="42"/>
      <c r="J17" t="s">
        <v>340</v>
      </c>
    </row>
    <row r="18" spans="3:13" x14ac:dyDescent="0.25">
      <c r="C18" s="1"/>
      <c r="D18" s="1" t="s">
        <v>38</v>
      </c>
      <c r="E18" s="1"/>
      <c r="F18" s="1">
        <f>SUM(F16:F16)</f>
        <v>59325</v>
      </c>
      <c r="G18" t="s">
        <v>2</v>
      </c>
      <c r="H18" s="132"/>
      <c r="I18" s="132"/>
    </row>
    <row r="19" spans="3:13" x14ac:dyDescent="0.25">
      <c r="C19" s="1"/>
      <c r="D19" s="1" t="s">
        <v>1</v>
      </c>
      <c r="E19" s="1"/>
      <c r="F19" s="6">
        <f>(F18*19%)</f>
        <v>11271.75</v>
      </c>
      <c r="G19" s="2">
        <v>1</v>
      </c>
      <c r="H19" s="133"/>
      <c r="I19" s="133"/>
      <c r="K19" s="9"/>
    </row>
    <row r="20" spans="3:13" x14ac:dyDescent="0.25">
      <c r="C20" s="1"/>
      <c r="D20" s="1" t="s">
        <v>0</v>
      </c>
      <c r="E20" s="1"/>
      <c r="F20" s="6">
        <f>(F18+F19)</f>
        <v>70596.75</v>
      </c>
      <c r="G20" s="41">
        <f>(F20*G19)</f>
        <v>70596.75</v>
      </c>
      <c r="H20" s="41"/>
      <c r="I20" s="41"/>
      <c r="J20" s="67"/>
      <c r="K20" s="9"/>
    </row>
    <row r="21" spans="3:13" x14ac:dyDescent="0.25">
      <c r="C21" s="9"/>
      <c r="D21" s="9"/>
      <c r="E21" s="9"/>
      <c r="F21" s="10"/>
      <c r="G21" s="41"/>
      <c r="H21" s="41"/>
      <c r="I21" s="41"/>
      <c r="J21" s="67"/>
      <c r="K21" s="9"/>
    </row>
    <row r="22" spans="3:13" x14ac:dyDescent="0.25">
      <c r="C22" s="9"/>
      <c r="D22" s="9"/>
      <c r="E22" s="9"/>
      <c r="F22" s="10"/>
      <c r="G22" s="191" t="s">
        <v>41</v>
      </c>
      <c r="H22" s="191"/>
      <c r="I22" s="191"/>
      <c r="J22" s="191"/>
      <c r="K22" s="9"/>
    </row>
    <row r="23" spans="3:13" x14ac:dyDescent="0.25">
      <c r="D23" s="1" t="s">
        <v>306</v>
      </c>
      <c r="G23" s="42"/>
      <c r="H23" s="42"/>
      <c r="I23" s="42"/>
      <c r="K23" s="9"/>
      <c r="L23" s="9"/>
    </row>
    <row r="24" spans="3:13" x14ac:dyDescent="0.25">
      <c r="C24" s="1">
        <v>1</v>
      </c>
      <c r="D24" s="1" t="s">
        <v>304</v>
      </c>
      <c r="E24" s="1">
        <v>391420</v>
      </c>
      <c r="F24" s="1">
        <f>(C24*E24)</f>
        <v>391420</v>
      </c>
      <c r="H24" s="9"/>
      <c r="I24" s="9"/>
      <c r="J24" s="10"/>
      <c r="K24" s="9"/>
      <c r="L24" s="9"/>
    </row>
    <row r="25" spans="3:13" x14ac:dyDescent="0.25">
      <c r="C25" s="1"/>
      <c r="D25" s="13" t="s">
        <v>303</v>
      </c>
      <c r="E25" s="1"/>
      <c r="F25" s="1"/>
      <c r="G25" t="s">
        <v>3</v>
      </c>
      <c r="H25" t="s">
        <v>40</v>
      </c>
      <c r="K25" s="10"/>
      <c r="L25" s="9"/>
    </row>
    <row r="26" spans="3:13" x14ac:dyDescent="0.25">
      <c r="C26" s="1"/>
      <c r="D26" s="1" t="s">
        <v>0</v>
      </c>
      <c r="E26" s="1"/>
      <c r="F26" s="1">
        <f>SUM(F23:F25)</f>
        <v>391420</v>
      </c>
      <c r="G26" t="s">
        <v>305</v>
      </c>
      <c r="H26" s="3">
        <v>43846</v>
      </c>
      <c r="I26" s="3"/>
      <c r="J26" s="3"/>
      <c r="K26" s="9"/>
      <c r="L26" s="9"/>
    </row>
    <row r="27" spans="3:13" x14ac:dyDescent="0.25">
      <c r="C27" s="1"/>
      <c r="D27" s="1" t="s">
        <v>1</v>
      </c>
      <c r="E27" s="1"/>
      <c r="F27" s="6">
        <f>(F26*19%)</f>
        <v>74369.8</v>
      </c>
      <c r="G27" s="2">
        <v>0.4</v>
      </c>
      <c r="H27" s="2">
        <v>0.6</v>
      </c>
      <c r="I27" s="2"/>
      <c r="J27" s="2"/>
      <c r="K27" s="10"/>
      <c r="L27" s="9"/>
    </row>
    <row r="28" spans="3:13" x14ac:dyDescent="0.25">
      <c r="C28" s="1"/>
      <c r="D28" s="1" t="s">
        <v>0</v>
      </c>
      <c r="E28" s="1"/>
      <c r="F28" s="6">
        <f>(F26+F27)</f>
        <v>465789.8</v>
      </c>
      <c r="G28" s="4">
        <f>(F28*G27)</f>
        <v>186315.92</v>
      </c>
      <c r="H28" s="4">
        <f>(F28*H27)</f>
        <v>279473.88</v>
      </c>
      <c r="I28" s="4"/>
      <c r="J28" s="4"/>
      <c r="K28" s="10">
        <f>(F28-G28-H28-I28-J28)</f>
        <v>0</v>
      </c>
      <c r="L28" s="9"/>
    </row>
    <row r="29" spans="3:13" x14ac:dyDescent="0.25">
      <c r="C29" s="9"/>
      <c r="D29" s="9"/>
      <c r="E29" s="9"/>
      <c r="F29" s="10"/>
      <c r="G29" s="4"/>
      <c r="H29" s="4"/>
      <c r="I29" s="4"/>
      <c r="J29" s="67"/>
      <c r="K29" s="10"/>
      <c r="L29" s="9"/>
    </row>
    <row r="30" spans="3:13" x14ac:dyDescent="0.25">
      <c r="C30" s="9"/>
      <c r="D30" s="1" t="s">
        <v>306</v>
      </c>
      <c r="E30" s="9" t="s">
        <v>359</v>
      </c>
      <c r="F30" s="10"/>
      <c r="G30" s="4"/>
      <c r="H30" s="4"/>
      <c r="I30" s="4"/>
      <c r="J30" s="192" t="s">
        <v>41</v>
      </c>
      <c r="K30" s="192"/>
      <c r="L30" s="192"/>
    </row>
    <row r="31" spans="3:13" x14ac:dyDescent="0.25">
      <c r="C31" s="9"/>
      <c r="D31" s="68" t="s">
        <v>134</v>
      </c>
      <c r="E31" s="48" t="s">
        <v>44</v>
      </c>
      <c r="F31" s="48" t="s">
        <v>42</v>
      </c>
      <c r="G31" s="48" t="s">
        <v>43</v>
      </c>
      <c r="H31" s="69" t="s">
        <v>0</v>
      </c>
      <c r="I31" s="59"/>
      <c r="J31" s="69" t="s">
        <v>2</v>
      </c>
      <c r="K31" s="69" t="s">
        <v>40</v>
      </c>
      <c r="L31" s="69" t="s">
        <v>4</v>
      </c>
      <c r="M31" s="65" t="s">
        <v>133</v>
      </c>
    </row>
    <row r="32" spans="3:13" x14ac:dyDescent="0.25">
      <c r="C32" s="31">
        <v>44169</v>
      </c>
      <c r="D32" s="29" t="s">
        <v>135</v>
      </c>
      <c r="E32" s="29" t="s">
        <v>6</v>
      </c>
      <c r="F32" s="30">
        <f>(F9)</f>
        <v>8308425</v>
      </c>
      <c r="G32" s="6">
        <f>(F32*19%)</f>
        <v>1578600.75</v>
      </c>
      <c r="H32" s="6">
        <f>(F32+G32)</f>
        <v>9887025.75</v>
      </c>
      <c r="I32" s="88" t="s">
        <v>94</v>
      </c>
      <c r="J32" s="35">
        <f>(G11)</f>
        <v>4449161.5875000004</v>
      </c>
      <c r="K32" s="36">
        <f>(H11)</f>
        <v>5437864.1625000006</v>
      </c>
      <c r="L32" s="35">
        <f>(I11)</f>
        <v>-9.3132257461547852E-10</v>
      </c>
      <c r="M32" s="6"/>
    </row>
    <row r="33" spans="3:13" x14ac:dyDescent="0.25">
      <c r="C33" s="31">
        <v>44181</v>
      </c>
      <c r="D33" s="29" t="s">
        <v>307</v>
      </c>
      <c r="E33" s="29" t="s">
        <v>46</v>
      </c>
      <c r="F33" s="30">
        <f>(F18)</f>
        <v>59325</v>
      </c>
      <c r="G33" s="6">
        <f>(F33*19%)</f>
        <v>11271.75</v>
      </c>
      <c r="H33" s="6">
        <f>(F33+G33)</f>
        <v>70596.75</v>
      </c>
      <c r="I33" s="88" t="s">
        <v>94</v>
      </c>
      <c r="J33" s="134">
        <f>(H33)</f>
        <v>70596.75</v>
      </c>
      <c r="K33" s="34"/>
      <c r="L33" s="34"/>
      <c r="M33" s="6"/>
    </row>
    <row r="34" spans="3:13" x14ac:dyDescent="0.25">
      <c r="C34" s="31">
        <v>44183</v>
      </c>
      <c r="D34" s="29" t="s">
        <v>308</v>
      </c>
      <c r="E34" s="29" t="s">
        <v>309</v>
      </c>
      <c r="F34" s="32">
        <f>(F26)</f>
        <v>391420</v>
      </c>
      <c r="G34" s="6">
        <f>(F34*19%)</f>
        <v>74369.8</v>
      </c>
      <c r="H34" s="6">
        <f>(F34+G34)</f>
        <v>465789.8</v>
      </c>
      <c r="I34" s="21" t="s">
        <v>93</v>
      </c>
      <c r="J34" s="35">
        <f>(G28)</f>
        <v>186315.92</v>
      </c>
      <c r="K34" s="47">
        <f>(H28)</f>
        <v>279473.88</v>
      </c>
      <c r="L34" s="36">
        <f>(I28)</f>
        <v>0</v>
      </c>
      <c r="M34" s="36">
        <f>(J28)</f>
        <v>0</v>
      </c>
    </row>
    <row r="35" spans="3:13" x14ac:dyDescent="0.25">
      <c r="C35" s="1"/>
      <c r="D35" s="1" t="s">
        <v>50</v>
      </c>
      <c r="E35" s="1"/>
      <c r="F35" s="6">
        <f>SUM(F32:F34)</f>
        <v>8759170</v>
      </c>
      <c r="G35" s="33">
        <f>SUM(G32:G34)</f>
        <v>1664242.3</v>
      </c>
      <c r="H35" s="6">
        <f>SUM(H32:H34)</f>
        <v>10423412.300000001</v>
      </c>
      <c r="I35" s="15"/>
      <c r="J35" s="38">
        <f>SUM(J32:J34)</f>
        <v>4706074.2575000003</v>
      </c>
      <c r="K35" s="6">
        <f>SUM(K32:K34)</f>
        <v>5717338.0425000004</v>
      </c>
      <c r="L35" s="6">
        <f>SUM(L32:L34)</f>
        <v>-9.3132257461547852E-10</v>
      </c>
      <c r="M35" s="6">
        <f>SUM(M32:M34)</f>
        <v>0</v>
      </c>
    </row>
    <row r="36" spans="3:13" x14ac:dyDescent="0.25">
      <c r="C36" s="9"/>
      <c r="D36" s="9"/>
      <c r="E36" s="9"/>
      <c r="F36" s="10"/>
      <c r="G36" s="24"/>
      <c r="H36" s="10"/>
      <c r="I36" s="10"/>
      <c r="J36" s="24"/>
      <c r="K36" s="10"/>
      <c r="L36" s="10"/>
    </row>
    <row r="37" spans="3:13" x14ac:dyDescent="0.25">
      <c r="C37" s="9"/>
      <c r="D37" s="9"/>
      <c r="E37" s="9"/>
      <c r="F37" s="10"/>
      <c r="G37" s="24"/>
      <c r="H37" s="10"/>
      <c r="I37" s="10"/>
      <c r="J37" s="24"/>
      <c r="K37" s="10"/>
      <c r="L37" s="10"/>
    </row>
    <row r="38" spans="3:13" x14ac:dyDescent="0.25">
      <c r="C38" s="25" t="s">
        <v>57</v>
      </c>
      <c r="D38" s="193" t="s">
        <v>58</v>
      </c>
      <c r="E38" s="193"/>
      <c r="F38" s="193"/>
      <c r="G38" s="193"/>
      <c r="H38" s="193"/>
      <c r="I38" s="193"/>
      <c r="J38" s="193"/>
      <c r="K38" s="193"/>
      <c r="L38" s="193"/>
    </row>
    <row r="39" spans="3:13" x14ac:dyDescent="0.25">
      <c r="C39" s="9"/>
      <c r="D39" s="8" t="s">
        <v>125</v>
      </c>
      <c r="E39" s="9"/>
      <c r="F39" s="9"/>
      <c r="G39" s="9"/>
      <c r="H39" s="9"/>
      <c r="I39" s="9"/>
      <c r="J39" s="9"/>
      <c r="K39" s="9"/>
      <c r="L39" s="9"/>
    </row>
    <row r="40" spans="3:13" x14ac:dyDescent="0.25">
      <c r="C40" s="9"/>
      <c r="D40" s="8" t="s">
        <v>6</v>
      </c>
      <c r="E40" s="18">
        <f>(F32)</f>
        <v>8308425</v>
      </c>
      <c r="F40" s="9"/>
      <c r="G40" s="9"/>
      <c r="H40" s="183"/>
      <c r="I40" s="183"/>
      <c r="J40" s="10"/>
      <c r="K40" s="9"/>
      <c r="L40" s="9"/>
    </row>
    <row r="41" spans="3:13" x14ac:dyDescent="0.25">
      <c r="C41" s="9"/>
      <c r="D41" s="8" t="s">
        <v>46</v>
      </c>
      <c r="E41" s="18">
        <f>(F33)</f>
        <v>59325</v>
      </c>
      <c r="F41" s="9"/>
      <c r="G41" s="9"/>
      <c r="H41" s="130"/>
      <c r="I41" s="130"/>
      <c r="J41" s="10"/>
      <c r="K41" s="9"/>
      <c r="L41" s="9"/>
    </row>
    <row r="42" spans="3:13" x14ac:dyDescent="0.25">
      <c r="C42" s="9"/>
      <c r="D42" s="8" t="s">
        <v>7</v>
      </c>
      <c r="E42" s="17">
        <f>(F34)</f>
        <v>391420</v>
      </c>
      <c r="F42" s="9"/>
      <c r="G42" s="9"/>
      <c r="H42" s="194"/>
      <c r="I42" s="194"/>
      <c r="J42" s="9"/>
      <c r="K42" s="9"/>
      <c r="L42" s="9"/>
    </row>
    <row r="43" spans="3:13" x14ac:dyDescent="0.25">
      <c r="C43" s="9"/>
      <c r="D43" s="61" t="s">
        <v>10</v>
      </c>
      <c r="E43" s="20">
        <f>(G35)</f>
        <v>1664242.3</v>
      </c>
      <c r="F43" s="10"/>
      <c r="G43" s="9"/>
      <c r="H43" s="9"/>
      <c r="I43" s="9"/>
      <c r="J43" s="10"/>
      <c r="K43" s="10"/>
      <c r="L43" s="9"/>
    </row>
    <row r="44" spans="3:13" x14ac:dyDescent="0.25">
      <c r="C44" s="9"/>
      <c r="D44" s="11" t="s">
        <v>2</v>
      </c>
      <c r="E44" s="10"/>
      <c r="F44" s="135">
        <f>(J33)</f>
        <v>70596.75</v>
      </c>
      <c r="G44" s="9"/>
      <c r="H44" s="136" t="s">
        <v>47</v>
      </c>
      <c r="I44" s="136"/>
      <c r="J44" s="136"/>
      <c r="K44" s="136"/>
      <c r="L44" s="9"/>
    </row>
    <row r="45" spans="3:13" x14ac:dyDescent="0.25">
      <c r="C45" s="9"/>
      <c r="D45" s="11" t="s">
        <v>215</v>
      </c>
      <c r="E45" s="10"/>
      <c r="F45" s="22">
        <f>(J32+J34)</f>
        <v>4635477.5075000003</v>
      </c>
      <c r="G45" s="9"/>
      <c r="H45" s="26" t="s">
        <v>310</v>
      </c>
      <c r="I45" s="26"/>
      <c r="J45" s="26"/>
      <c r="K45" s="26"/>
      <c r="L45" s="9"/>
    </row>
    <row r="46" spans="3:13" x14ac:dyDescent="0.25">
      <c r="C46" s="9"/>
      <c r="D46" s="62" t="s">
        <v>8</v>
      </c>
      <c r="E46" s="10"/>
      <c r="F46" s="16">
        <f>(K32)</f>
        <v>5437864.1625000006</v>
      </c>
      <c r="G46" s="10"/>
      <c r="H46" s="23" t="s">
        <v>48</v>
      </c>
      <c r="I46" s="23"/>
      <c r="J46" s="23"/>
      <c r="K46" s="23"/>
      <c r="L46" s="23"/>
    </row>
    <row r="47" spans="3:13" x14ac:dyDescent="0.25">
      <c r="C47" s="9"/>
      <c r="D47" s="62" t="s">
        <v>9</v>
      </c>
      <c r="E47" s="9"/>
      <c r="F47" s="15">
        <f>(K34+L34+M34)</f>
        <v>279473.88</v>
      </c>
      <c r="G47" s="10"/>
      <c r="H47" s="21" t="s">
        <v>49</v>
      </c>
      <c r="I47" s="21"/>
      <c r="J47" s="21"/>
      <c r="K47" s="21"/>
      <c r="L47" s="21"/>
    </row>
    <row r="48" spans="3:13" x14ac:dyDescent="0.25">
      <c r="C48" s="9"/>
      <c r="D48" s="9"/>
      <c r="E48" s="10">
        <f>SUM(E40:E47)</f>
        <v>10423412.300000001</v>
      </c>
      <c r="F48" s="10">
        <f>SUM(F40:F47)</f>
        <v>10423412.300000003</v>
      </c>
      <c r="G48" s="9"/>
      <c r="H48" s="9"/>
      <c r="I48" s="179"/>
      <c r="J48" s="179"/>
      <c r="K48" s="9"/>
      <c r="L48" s="9"/>
    </row>
    <row r="49" spans="3:15" x14ac:dyDescent="0.25">
      <c r="C49" s="9"/>
      <c r="D49" s="9"/>
      <c r="E49" s="9"/>
      <c r="F49" s="9"/>
      <c r="G49" s="9"/>
      <c r="H49" s="9"/>
      <c r="I49" s="9"/>
      <c r="J49" s="9"/>
      <c r="K49" s="9"/>
      <c r="L49" s="9"/>
    </row>
    <row r="50" spans="3:15" x14ac:dyDescent="0.25">
      <c r="C50" s="9" t="s">
        <v>51</v>
      </c>
      <c r="D50" s="195" t="s">
        <v>55</v>
      </c>
      <c r="E50" s="195"/>
      <c r="F50" s="195"/>
      <c r="G50" s="195"/>
      <c r="H50" s="195"/>
      <c r="I50" s="195"/>
      <c r="J50" s="195"/>
      <c r="K50" s="195"/>
      <c r="L50" s="195"/>
    </row>
    <row r="51" spans="3:15" x14ac:dyDescent="0.25">
      <c r="C51" s="9" t="s">
        <v>53</v>
      </c>
      <c r="D51" s="195" t="s">
        <v>56</v>
      </c>
      <c r="E51" s="195"/>
      <c r="F51" s="195"/>
      <c r="G51" s="195"/>
      <c r="H51" s="195"/>
      <c r="I51" s="195"/>
      <c r="J51" s="195"/>
      <c r="K51" s="195"/>
      <c r="L51" s="195"/>
    </row>
    <row r="52" spans="3:15" x14ac:dyDescent="0.25">
      <c r="C52" s="9" t="s">
        <v>59</v>
      </c>
      <c r="D52" s="40" t="s">
        <v>60</v>
      </c>
      <c r="E52" s="40"/>
      <c r="F52" s="40"/>
      <c r="G52" s="40"/>
      <c r="H52" s="40"/>
      <c r="I52" s="40"/>
      <c r="J52" s="40"/>
      <c r="K52" s="40"/>
      <c r="L52" s="40"/>
      <c r="M52" s="40"/>
    </row>
    <row r="53" spans="3:15" x14ac:dyDescent="0.25">
      <c r="C53" s="9"/>
      <c r="D53" s="183" t="s">
        <v>61</v>
      </c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3"/>
    </row>
    <row r="54" spans="3:15" x14ac:dyDescent="0.25">
      <c r="C54" s="9"/>
      <c r="D54" s="9"/>
      <c r="E54" s="9"/>
      <c r="F54" s="10"/>
      <c r="G54" s="10"/>
      <c r="H54" s="9"/>
      <c r="I54" s="9"/>
      <c r="J54" s="9"/>
      <c r="K54" s="10"/>
      <c r="L54" s="9"/>
    </row>
    <row r="55" spans="3:15" x14ac:dyDescent="0.25">
      <c r="C55" s="9"/>
      <c r="D55" s="9"/>
      <c r="E55" s="12"/>
      <c r="F55" s="10"/>
      <c r="G55" s="9"/>
      <c r="H55" s="9"/>
      <c r="I55" s="9"/>
      <c r="J55" s="9"/>
      <c r="K55" s="9"/>
      <c r="L55" s="9"/>
    </row>
    <row r="56" spans="3:15" x14ac:dyDescent="0.25">
      <c r="C56" s="9" t="s">
        <v>71</v>
      </c>
      <c r="D56" s="9" t="s">
        <v>290</v>
      </c>
      <c r="E56" s="12"/>
      <c r="F56" s="10"/>
      <c r="G56" s="10"/>
      <c r="H56" s="12"/>
      <c r="I56" s="9"/>
      <c r="J56" s="10" t="s">
        <v>285</v>
      </c>
      <c r="K56" s="9"/>
      <c r="L56" s="9" t="s">
        <v>286</v>
      </c>
    </row>
    <row r="57" spans="3:15" x14ac:dyDescent="0.25">
      <c r="C57" s="9"/>
      <c r="D57" s="9"/>
      <c r="E57" s="9"/>
      <c r="F57" s="9"/>
      <c r="G57" s="9"/>
      <c r="H57" s="12"/>
      <c r="I57" s="9"/>
      <c r="J57" s="10"/>
      <c r="K57" s="9"/>
      <c r="L57" s="9" t="s">
        <v>287</v>
      </c>
    </row>
    <row r="58" spans="3:15" x14ac:dyDescent="0.25">
      <c r="D58" s="1" t="s">
        <v>298</v>
      </c>
      <c r="H58" s="12"/>
      <c r="I58" s="179"/>
      <c r="J58" s="179"/>
      <c r="K58" s="9"/>
      <c r="L58" s="9"/>
    </row>
    <row r="59" spans="3:15" x14ac:dyDescent="0.25">
      <c r="C59" s="1">
        <v>195</v>
      </c>
      <c r="D59" s="1" t="s">
        <v>37</v>
      </c>
      <c r="E59" s="1">
        <v>89950</v>
      </c>
      <c r="F59" s="1">
        <f>(C59*E59)</f>
        <v>17540250</v>
      </c>
      <c r="G59">
        <v>1</v>
      </c>
      <c r="H59" s="12"/>
      <c r="I59" s="9"/>
      <c r="J59" s="12"/>
      <c r="K59" s="10"/>
      <c r="L59" s="9"/>
    </row>
    <row r="60" spans="3:15" x14ac:dyDescent="0.25">
      <c r="C60" s="1"/>
      <c r="D60" s="1"/>
      <c r="E60" s="1"/>
      <c r="F60" s="1"/>
      <c r="H60" s="9">
        <v>2</v>
      </c>
      <c r="I60" s="9"/>
      <c r="J60" s="9"/>
      <c r="K60" s="9"/>
      <c r="L60" s="9"/>
    </row>
    <row r="61" spans="3:15" x14ac:dyDescent="0.25">
      <c r="C61" s="1"/>
      <c r="D61" s="13" t="s">
        <v>5</v>
      </c>
      <c r="E61" s="1"/>
      <c r="F61" s="1"/>
      <c r="G61" t="s">
        <v>3</v>
      </c>
      <c r="H61" s="9" t="s">
        <v>40</v>
      </c>
      <c r="I61" s="9"/>
      <c r="J61" s="9"/>
      <c r="K61" s="10"/>
      <c r="L61" s="9"/>
    </row>
    <row r="62" spans="3:15" x14ac:dyDescent="0.25">
      <c r="C62" s="1"/>
      <c r="D62" s="1" t="s">
        <v>0</v>
      </c>
      <c r="E62" s="1"/>
      <c r="F62" s="45">
        <f>SUM(F59:F61)</f>
        <v>17540250</v>
      </c>
      <c r="G62" t="s">
        <v>299</v>
      </c>
      <c r="H62" s="3">
        <v>43833</v>
      </c>
      <c r="I62" s="9"/>
      <c r="J62" s="9"/>
      <c r="K62" s="10"/>
      <c r="L62" s="9"/>
    </row>
    <row r="63" spans="3:15" x14ac:dyDescent="0.25">
      <c r="C63" s="1"/>
      <c r="D63" s="1" t="s">
        <v>1</v>
      </c>
      <c r="E63" s="1"/>
      <c r="F63" s="6">
        <f>(F62*19%)</f>
        <v>3332647.5</v>
      </c>
      <c r="G63" s="2">
        <v>0.7</v>
      </c>
      <c r="H63" s="2">
        <v>0.3</v>
      </c>
      <c r="I63" s="9"/>
      <c r="J63" s="9"/>
      <c r="K63" s="10"/>
      <c r="L63" s="9"/>
    </row>
    <row r="64" spans="3:15" x14ac:dyDescent="0.25">
      <c r="C64" s="1"/>
      <c r="D64" s="1" t="s">
        <v>0</v>
      </c>
      <c r="E64" s="1"/>
      <c r="F64" s="6">
        <f>(F62+F63)</f>
        <v>20872897.5</v>
      </c>
      <c r="G64" s="4">
        <f>(F64*G63)</f>
        <v>14611028.25</v>
      </c>
      <c r="H64" s="4">
        <f>(F64*H63)</f>
        <v>6261869.25</v>
      </c>
      <c r="I64" s="10">
        <f>(G64+H64-F64)</f>
        <v>0</v>
      </c>
      <c r="J64" s="9"/>
      <c r="K64" s="9"/>
      <c r="L64" s="9"/>
    </row>
    <row r="65" spans="3:13" x14ac:dyDescent="0.25">
      <c r="C65" s="9"/>
      <c r="D65" s="9"/>
      <c r="E65" s="10"/>
      <c r="F65" s="9"/>
      <c r="G65" s="9"/>
      <c r="H65" s="183"/>
      <c r="I65" s="183"/>
      <c r="J65" s="9"/>
      <c r="K65" s="9"/>
      <c r="L65" s="9"/>
    </row>
    <row r="66" spans="3:13" x14ac:dyDescent="0.25">
      <c r="C66" s="9"/>
      <c r="D66" s="9"/>
      <c r="E66" s="9">
        <v>3</v>
      </c>
      <c r="F66" s="9"/>
      <c r="G66" s="9"/>
      <c r="H66" s="183"/>
      <c r="I66" s="183"/>
      <c r="J66" s="9"/>
      <c r="K66" s="9">
        <v>2</v>
      </c>
      <c r="L66" s="9"/>
    </row>
    <row r="67" spans="3:13" x14ac:dyDescent="0.25">
      <c r="C67" s="9"/>
      <c r="D67" s="196" t="s">
        <v>295</v>
      </c>
      <c r="E67" s="196"/>
      <c r="F67" s="196"/>
      <c r="G67" s="196"/>
      <c r="H67" s="9"/>
      <c r="I67" s="9"/>
      <c r="J67" s="191" t="s">
        <v>54</v>
      </c>
      <c r="K67" s="191"/>
      <c r="L67" s="191"/>
    </row>
    <row r="68" spans="3:13" x14ac:dyDescent="0.25">
      <c r="C68" s="1"/>
      <c r="D68" s="126" t="s">
        <v>297</v>
      </c>
      <c r="E68" s="60" t="s">
        <v>44</v>
      </c>
      <c r="F68" s="60" t="s">
        <v>42</v>
      </c>
      <c r="G68" s="60" t="s">
        <v>43</v>
      </c>
      <c r="H68" s="27" t="s">
        <v>0</v>
      </c>
      <c r="I68" s="9"/>
      <c r="J68" s="7" t="s">
        <v>45</v>
      </c>
      <c r="K68" s="6" t="s">
        <v>40</v>
      </c>
      <c r="L68" s="1" t="s">
        <v>4</v>
      </c>
    </row>
    <row r="69" spans="3:13" x14ac:dyDescent="0.25">
      <c r="C69" s="28">
        <v>44167</v>
      </c>
      <c r="D69" s="1" t="s">
        <v>296</v>
      </c>
      <c r="E69" s="1" t="s">
        <v>5</v>
      </c>
      <c r="F69" s="29">
        <f>(F62)</f>
        <v>17540250</v>
      </c>
      <c r="G69" s="47">
        <f>(F63)</f>
        <v>3332647.5</v>
      </c>
      <c r="H69" s="6">
        <f>(F64)</f>
        <v>20872897.5</v>
      </c>
      <c r="I69" s="9"/>
      <c r="J69" s="33">
        <f>(G64)</f>
        <v>14611028.25</v>
      </c>
      <c r="K69" s="43">
        <f>(H64)</f>
        <v>6261869.25</v>
      </c>
      <c r="L69" s="1">
        <v>0</v>
      </c>
      <c r="M69" s="4">
        <f>(J69+K69-H69)</f>
        <v>0</v>
      </c>
    </row>
    <row r="70" spans="3:13" x14ac:dyDescent="0.25">
      <c r="C70" s="9"/>
      <c r="D70" s="9"/>
      <c r="E70" s="10"/>
      <c r="F70" s="10"/>
      <c r="G70" s="10"/>
      <c r="H70" s="179"/>
      <c r="I70" s="179"/>
      <c r="J70" s="9"/>
      <c r="K70" s="9"/>
      <c r="L70" s="9"/>
    </row>
    <row r="71" spans="3:13" x14ac:dyDescent="0.25">
      <c r="C71" s="9"/>
      <c r="D71" s="9" t="s">
        <v>291</v>
      </c>
      <c r="E71" s="9"/>
      <c r="F71" s="9"/>
      <c r="G71" s="9"/>
      <c r="H71" s="9"/>
      <c r="I71" s="9"/>
      <c r="J71" s="9"/>
      <c r="K71" s="9"/>
      <c r="L71" s="9"/>
    </row>
    <row r="72" spans="3:13" x14ac:dyDescent="0.25">
      <c r="C72" s="9"/>
      <c r="D72" s="9" t="s">
        <v>215</v>
      </c>
      <c r="E72" s="20">
        <f>(J69)</f>
        <v>14611028.25</v>
      </c>
      <c r="F72" s="9"/>
      <c r="G72" s="9"/>
      <c r="H72" s="9" t="s">
        <v>67</v>
      </c>
      <c r="I72" s="9"/>
      <c r="J72" s="9"/>
      <c r="K72" s="9"/>
      <c r="L72" s="9"/>
    </row>
    <row r="73" spans="3:13" x14ac:dyDescent="0.25">
      <c r="C73" s="9"/>
      <c r="D73" s="8" t="s">
        <v>11</v>
      </c>
      <c r="E73" s="19">
        <f>(K69)</f>
        <v>6261869.25</v>
      </c>
      <c r="F73" s="9"/>
      <c r="G73" s="9"/>
      <c r="H73" s="9" t="s">
        <v>68</v>
      </c>
      <c r="I73" s="9"/>
      <c r="J73" s="9"/>
      <c r="K73" s="9"/>
      <c r="L73" s="9"/>
    </row>
    <row r="74" spans="3:13" x14ac:dyDescent="0.25">
      <c r="C74" s="9"/>
      <c r="D74" s="11" t="s">
        <v>5</v>
      </c>
      <c r="E74" s="9"/>
      <c r="F74" s="46">
        <f>(F62)</f>
        <v>17540250</v>
      </c>
      <c r="G74" s="9"/>
      <c r="H74" s="9" t="s">
        <v>69</v>
      </c>
      <c r="I74" s="9"/>
      <c r="J74" s="9"/>
      <c r="K74" s="9"/>
      <c r="L74" s="9"/>
    </row>
    <row r="75" spans="3:13" x14ac:dyDescent="0.25">
      <c r="C75" s="9"/>
      <c r="D75" s="62" t="s">
        <v>12</v>
      </c>
      <c r="E75" s="9"/>
      <c r="F75" s="15">
        <f>(G69)</f>
        <v>3332647.5</v>
      </c>
      <c r="G75" s="9"/>
      <c r="H75" s="8" t="s">
        <v>70</v>
      </c>
      <c r="I75" s="9"/>
      <c r="J75" s="9"/>
      <c r="K75" s="9"/>
      <c r="L75" s="9"/>
    </row>
    <row r="76" spans="3:13" x14ac:dyDescent="0.25">
      <c r="C76" s="9"/>
      <c r="D76" s="9"/>
      <c r="E76" s="10">
        <f>SUM(E72:E75)</f>
        <v>20872897.5</v>
      </c>
      <c r="F76" s="10">
        <f>SUM(F72:F75)</f>
        <v>20872897.5</v>
      </c>
      <c r="G76" s="9"/>
      <c r="H76" s="9"/>
      <c r="I76" s="9"/>
      <c r="J76" s="9"/>
      <c r="K76" s="9"/>
      <c r="L76" s="9"/>
    </row>
    <row r="77" spans="3:13" ht="15.75" thickBot="1" x14ac:dyDescent="0.3">
      <c r="C77" s="9"/>
      <c r="D77" s="9"/>
      <c r="E77" s="9"/>
      <c r="F77" s="9"/>
      <c r="G77" s="9"/>
      <c r="H77" s="9"/>
      <c r="I77" s="9"/>
      <c r="J77" s="9"/>
      <c r="K77" s="9"/>
      <c r="L77" s="9"/>
    </row>
    <row r="78" spans="3:13" ht="15.75" thickBot="1" x14ac:dyDescent="0.3">
      <c r="C78" s="9" t="s">
        <v>73</v>
      </c>
      <c r="D78" s="180" t="s">
        <v>292</v>
      </c>
      <c r="E78" s="181"/>
      <c r="F78" s="181"/>
      <c r="G78" s="181"/>
      <c r="H78" s="182"/>
      <c r="I78" s="9"/>
      <c r="J78" s="9"/>
      <c r="K78" s="9"/>
      <c r="L78" s="9"/>
    </row>
    <row r="79" spans="3:13" x14ac:dyDescent="0.25"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3:13" x14ac:dyDescent="0.25">
      <c r="C80" s="9"/>
      <c r="D80" s="60" t="s">
        <v>75</v>
      </c>
      <c r="E80" s="60" t="s">
        <v>76</v>
      </c>
      <c r="F80" s="60" t="s">
        <v>42</v>
      </c>
      <c r="G80" s="60" t="s">
        <v>43</v>
      </c>
      <c r="H80" s="60" t="s">
        <v>0</v>
      </c>
      <c r="I80" s="9"/>
      <c r="J80" s="9"/>
      <c r="K80" s="9"/>
      <c r="L80" s="9"/>
    </row>
    <row r="81" spans="3:18" x14ac:dyDescent="0.25">
      <c r="C81" s="9"/>
      <c r="D81" s="1" t="s">
        <v>5</v>
      </c>
      <c r="E81" s="60">
        <v>1</v>
      </c>
      <c r="F81" s="1">
        <f>(F69)</f>
        <v>17540250</v>
      </c>
      <c r="G81" s="6">
        <f>(G69)</f>
        <v>3332647.5</v>
      </c>
      <c r="H81" s="6">
        <f>(H69)</f>
        <v>20872897.5</v>
      </c>
      <c r="I81" s="9"/>
      <c r="J81" s="9"/>
      <c r="K81" s="9"/>
      <c r="L81" s="9"/>
    </row>
    <row r="82" spans="3:18" x14ac:dyDescent="0.25">
      <c r="C82" s="9"/>
      <c r="D82" s="29" t="s">
        <v>77</v>
      </c>
      <c r="E82" s="60"/>
      <c r="F82" s="1"/>
      <c r="G82" s="6">
        <f>(G81)</f>
        <v>3332647.5</v>
      </c>
      <c r="H82" s="1"/>
      <c r="I82" s="9"/>
      <c r="J82" s="9" t="s">
        <v>284</v>
      </c>
      <c r="K82" s="9"/>
      <c r="L82" s="9"/>
    </row>
    <row r="83" spans="3:18" x14ac:dyDescent="0.25">
      <c r="C83" s="9"/>
      <c r="D83" s="1"/>
      <c r="E83" s="60"/>
      <c r="F83" s="1"/>
      <c r="G83" s="1"/>
      <c r="H83" s="1"/>
      <c r="I83" s="9"/>
      <c r="J83" s="9"/>
      <c r="K83" s="9"/>
      <c r="L83" s="9"/>
    </row>
    <row r="84" spans="3:18" x14ac:dyDescent="0.25">
      <c r="C84" s="9"/>
      <c r="D84" s="29" t="s">
        <v>78</v>
      </c>
      <c r="E84" s="60">
        <v>2</v>
      </c>
      <c r="F84" s="1"/>
      <c r="G84" s="6">
        <f>(G32+G33)</f>
        <v>1589872.5</v>
      </c>
      <c r="H84" s="1"/>
      <c r="I84" s="9"/>
      <c r="J84" s="9" t="s">
        <v>407</v>
      </c>
      <c r="K84" s="9"/>
      <c r="L84" s="9"/>
    </row>
    <row r="85" spans="3:18" x14ac:dyDescent="0.25">
      <c r="C85" s="9"/>
      <c r="D85" s="29" t="s">
        <v>79</v>
      </c>
      <c r="E85" s="60">
        <v>1</v>
      </c>
      <c r="F85" s="1"/>
      <c r="G85" s="6">
        <f>(G34)</f>
        <v>74369.8</v>
      </c>
      <c r="H85" s="1"/>
      <c r="I85" s="9"/>
      <c r="J85" s="9" t="s">
        <v>408</v>
      </c>
      <c r="K85" s="9"/>
      <c r="L85" s="9"/>
    </row>
    <row r="86" spans="3:18" x14ac:dyDescent="0.25">
      <c r="C86" s="9"/>
      <c r="D86" s="29" t="s">
        <v>80</v>
      </c>
      <c r="E86" s="60">
        <v>10.5</v>
      </c>
      <c r="F86" s="1">
        <v>49673</v>
      </c>
      <c r="G86" s="6">
        <f>(E86*F86)</f>
        <v>521566.5</v>
      </c>
      <c r="H86" s="1"/>
      <c r="I86" s="9"/>
      <c r="J86" s="9"/>
      <c r="K86" s="9"/>
      <c r="L86" s="9"/>
    </row>
    <row r="87" spans="3:18" x14ac:dyDescent="0.25">
      <c r="C87" s="9"/>
      <c r="D87" s="29" t="s">
        <v>81</v>
      </c>
      <c r="E87" s="60"/>
      <c r="F87" s="1"/>
      <c r="G87" s="38">
        <f>SUM(G84:G86)</f>
        <v>2185808.7999999998</v>
      </c>
      <c r="H87" s="1"/>
      <c r="I87" s="9"/>
      <c r="J87" s="8" t="s">
        <v>288</v>
      </c>
      <c r="K87" s="9"/>
      <c r="L87" s="9"/>
    </row>
    <row r="88" spans="3:18" x14ac:dyDescent="0.25">
      <c r="C88" s="9"/>
      <c r="D88" s="1"/>
      <c r="E88" s="1"/>
      <c r="F88" s="1"/>
      <c r="G88" s="1"/>
      <c r="H88" s="1"/>
      <c r="I88" s="9"/>
      <c r="J88" s="9"/>
      <c r="K88" s="9"/>
      <c r="L88" s="9"/>
    </row>
    <row r="89" spans="3:18" x14ac:dyDescent="0.25">
      <c r="C89" s="9"/>
      <c r="D89" s="29" t="s">
        <v>82</v>
      </c>
      <c r="E89" s="1"/>
      <c r="F89" s="1"/>
      <c r="G89" s="6">
        <f>(G82-G87)</f>
        <v>1146838.7000000002</v>
      </c>
      <c r="H89" s="1"/>
      <c r="I89" s="9"/>
      <c r="J89" s="183" t="s">
        <v>83</v>
      </c>
      <c r="K89" s="183"/>
      <c r="L89" s="183"/>
      <c r="M89" s="183"/>
      <c r="N89" s="183"/>
      <c r="O89" s="183"/>
      <c r="P89" s="60" t="s">
        <v>86</v>
      </c>
      <c r="Q89" s="60" t="s">
        <v>12</v>
      </c>
      <c r="R89" s="60" t="s">
        <v>82</v>
      </c>
    </row>
    <row r="90" spans="3:18" x14ac:dyDescent="0.25">
      <c r="C90" s="9"/>
      <c r="D90" s="30" t="s">
        <v>84</v>
      </c>
      <c r="E90" s="102"/>
      <c r="F90" s="1"/>
      <c r="G90" s="1"/>
      <c r="H90" s="1"/>
      <c r="I90" s="9"/>
      <c r="J90" s="183" t="s">
        <v>85</v>
      </c>
      <c r="K90" s="183"/>
      <c r="L90" s="183"/>
      <c r="M90" s="183"/>
      <c r="N90" s="183"/>
      <c r="O90" s="183"/>
      <c r="P90" s="48">
        <f>(G87)</f>
        <v>2185808.7999999998</v>
      </c>
      <c r="Q90" s="48">
        <f>(G82)</f>
        <v>3332647.5</v>
      </c>
      <c r="R90" s="48">
        <f>(P90-Q90)</f>
        <v>-1146838.7000000002</v>
      </c>
    </row>
    <row r="91" spans="3:18" x14ac:dyDescent="0.25">
      <c r="C91" s="9"/>
      <c r="D91" s="30" t="s">
        <v>421</v>
      </c>
      <c r="E91" s="6"/>
      <c r="F91" s="1"/>
      <c r="G91" s="6"/>
      <c r="H91" s="1"/>
      <c r="I91" s="9"/>
      <c r="J91" s="64"/>
      <c r="K91" s="64"/>
      <c r="L91" s="64"/>
      <c r="M91" s="64"/>
      <c r="N91" s="64"/>
      <c r="O91" s="64"/>
      <c r="P91" s="101"/>
      <c r="Q91" s="101"/>
      <c r="R91" s="101"/>
    </row>
    <row r="92" spans="3:18" x14ac:dyDescent="0.25">
      <c r="C92" s="9"/>
      <c r="D92" s="1" t="s">
        <v>138</v>
      </c>
      <c r="E92" s="1"/>
      <c r="F92" s="1">
        <v>295000</v>
      </c>
      <c r="G92" s="6">
        <v>31713</v>
      </c>
      <c r="H92" s="1"/>
      <c r="I92" s="9"/>
      <c r="J92" s="9"/>
      <c r="K92" s="9"/>
      <c r="L92" s="9"/>
    </row>
    <row r="93" spans="3:18" x14ac:dyDescent="0.25">
      <c r="C93" s="9"/>
      <c r="D93" s="29" t="s">
        <v>88</v>
      </c>
      <c r="E93" s="1"/>
      <c r="F93" s="1"/>
      <c r="G93" s="6">
        <f>(F93*10.75%)</f>
        <v>0</v>
      </c>
      <c r="H93" s="1"/>
      <c r="I93" s="9"/>
      <c r="J93" s="9" t="s">
        <v>409</v>
      </c>
      <c r="K93" s="9"/>
      <c r="L93" s="9"/>
    </row>
    <row r="94" spans="3:18" x14ac:dyDescent="0.25">
      <c r="C94" s="9"/>
      <c r="D94" s="29" t="s">
        <v>89</v>
      </c>
      <c r="E94" s="1">
        <f>(F81)</f>
        <v>17540250</v>
      </c>
      <c r="F94" s="49">
        <v>0.02</v>
      </c>
      <c r="G94" s="1">
        <f>(E94*F94)</f>
        <v>350805</v>
      </c>
      <c r="H94" s="1"/>
      <c r="I94" s="9"/>
      <c r="J94" s="9" t="s">
        <v>90</v>
      </c>
      <c r="K94" s="9"/>
      <c r="L94" s="9"/>
    </row>
    <row r="95" spans="3:18" x14ac:dyDescent="0.25">
      <c r="C95" s="9"/>
      <c r="D95" s="1"/>
      <c r="E95" s="1"/>
      <c r="F95" s="1"/>
      <c r="G95" s="1"/>
      <c r="H95" s="1"/>
      <c r="I95" s="9"/>
      <c r="J95" s="9"/>
      <c r="K95" s="9"/>
      <c r="L95" s="9"/>
    </row>
    <row r="96" spans="3:18" x14ac:dyDescent="0.25">
      <c r="C96" s="9"/>
      <c r="D96" s="1" t="s">
        <v>91</v>
      </c>
      <c r="E96" s="1"/>
      <c r="F96" s="1"/>
      <c r="G96" s="6">
        <f>(G89+G92+G93+G94)</f>
        <v>1529356.7000000002</v>
      </c>
      <c r="H96" s="1"/>
      <c r="I96" s="9"/>
      <c r="J96" s="9" t="s">
        <v>92</v>
      </c>
      <c r="K96" s="9"/>
      <c r="L96" s="9"/>
    </row>
    <row r="97" spans="1:23" x14ac:dyDescent="0.25">
      <c r="C97" s="9"/>
      <c r="D97" s="9"/>
      <c r="E97" s="9"/>
      <c r="F97" s="9"/>
      <c r="G97" s="9"/>
      <c r="H97" s="9"/>
      <c r="I97" s="9"/>
      <c r="J97" s="9"/>
      <c r="K97" s="9"/>
      <c r="L97" s="9"/>
    </row>
    <row r="98" spans="1:23" ht="15.75" thickBot="1" x14ac:dyDescent="0.3">
      <c r="C98" s="9"/>
      <c r="D98" s="9"/>
      <c r="E98" s="10"/>
      <c r="F98" s="10"/>
      <c r="G98" s="10"/>
      <c r="H98" s="9"/>
      <c r="I98" s="9"/>
      <c r="J98" s="9"/>
      <c r="K98" s="9"/>
      <c r="L98" s="9"/>
    </row>
    <row r="99" spans="1:23" x14ac:dyDescent="0.25">
      <c r="C99" s="9"/>
      <c r="D99" s="9"/>
      <c r="E99" s="9"/>
      <c r="F99" s="9"/>
      <c r="G99" s="9"/>
      <c r="H99" s="9"/>
      <c r="I99" s="9"/>
      <c r="J99" s="9"/>
      <c r="K99" s="9"/>
      <c r="L99" s="9"/>
      <c r="M99" s="184" t="s">
        <v>32</v>
      </c>
      <c r="N99" s="185"/>
      <c r="O99" s="185"/>
      <c r="P99" s="185"/>
      <c r="Q99" s="185"/>
      <c r="R99" s="185"/>
      <c r="S99" s="185"/>
      <c r="T99" s="185"/>
      <c r="U99" s="185"/>
      <c r="V99" s="185"/>
      <c r="W99" s="186"/>
    </row>
    <row r="100" spans="1:23" x14ac:dyDescent="0.25">
      <c r="C100" s="9"/>
      <c r="D100" s="9"/>
      <c r="E100" s="25" t="s">
        <v>25</v>
      </c>
      <c r="F100" s="50" t="s">
        <v>26</v>
      </c>
      <c r="G100" s="23" t="s">
        <v>27</v>
      </c>
      <c r="H100" s="51" t="s">
        <v>28</v>
      </c>
      <c r="I100" s="9"/>
      <c r="J100" s="9"/>
      <c r="K100" s="9"/>
      <c r="L100" s="9"/>
      <c r="M100" s="199" t="s">
        <v>250</v>
      </c>
      <c r="N100" s="170"/>
      <c r="O100" s="191"/>
      <c r="P100" s="191"/>
      <c r="Q100" s="191"/>
      <c r="R100" s="191"/>
      <c r="S100" s="116" t="s">
        <v>251</v>
      </c>
      <c r="T100" s="116"/>
      <c r="U100" s="9"/>
      <c r="V100" s="9"/>
      <c r="W100" s="115"/>
    </row>
    <row r="101" spans="1:23" x14ac:dyDescent="0.25">
      <c r="C101" s="9"/>
      <c r="D101" s="8" t="s">
        <v>219</v>
      </c>
      <c r="E101" s="24">
        <f>(E106-F115-F120-F124-F127+E129-F155-F162-F168-F229)</f>
        <v>3749580.9557065405</v>
      </c>
      <c r="F101" s="8"/>
      <c r="G101" s="24">
        <f>(E101+G106-H115-H120-H124-H127+G129+G185-H155-H162-H168-H229)</f>
        <v>3397432.0162826404</v>
      </c>
      <c r="H101" s="8"/>
      <c r="I101" s="24">
        <f>(G101-R105)</f>
        <v>0</v>
      </c>
      <c r="J101" s="9"/>
      <c r="K101" s="9"/>
      <c r="L101" s="9"/>
      <c r="M101" s="200" t="s">
        <v>252</v>
      </c>
      <c r="N101" s="201"/>
      <c r="O101" s="201"/>
      <c r="P101" s="201"/>
      <c r="Q101" s="201"/>
      <c r="R101" s="201"/>
      <c r="S101" s="1" t="s">
        <v>94</v>
      </c>
      <c r="T101" s="170"/>
      <c r="U101" s="170"/>
      <c r="V101" s="170"/>
      <c r="W101" s="170"/>
    </row>
    <row r="102" spans="1:23" ht="15.75" thickBot="1" x14ac:dyDescent="0.3">
      <c r="C102" s="9"/>
      <c r="D102" s="8" t="s">
        <v>220</v>
      </c>
      <c r="E102" s="24">
        <f>(-F114-F119-F163+E167-F179-F183+E186-F193)</f>
        <v>5000000</v>
      </c>
      <c r="F102" s="8"/>
      <c r="G102" s="24">
        <f>(E102+G186-H110-H114-H119-H123+G130-H163-H179-H183-H193)</f>
        <v>6452139.3300290592</v>
      </c>
      <c r="H102" s="8"/>
      <c r="I102" s="24">
        <f>(G102-R106)</f>
        <v>-1.862645149230957E-9</v>
      </c>
      <c r="J102" s="9"/>
      <c r="K102" s="9"/>
      <c r="L102" s="9"/>
      <c r="M102" s="202" t="s">
        <v>253</v>
      </c>
      <c r="N102" s="203"/>
      <c r="O102" s="203"/>
      <c r="P102" s="203"/>
      <c r="Q102" s="203"/>
      <c r="R102" s="203"/>
      <c r="S102" s="203"/>
      <c r="T102" s="203"/>
      <c r="U102" s="203"/>
      <c r="V102" s="203"/>
      <c r="W102" s="204"/>
    </row>
    <row r="103" spans="1:23" x14ac:dyDescent="0.25">
      <c r="A103" s="205" t="s">
        <v>223</v>
      </c>
      <c r="B103" s="186"/>
      <c r="C103" s="9"/>
      <c r="D103" s="179" t="s">
        <v>97</v>
      </c>
      <c r="E103" s="179"/>
      <c r="F103" s="179"/>
      <c r="G103" s="179"/>
      <c r="H103" s="179"/>
      <c r="I103" s="9"/>
      <c r="J103" s="9"/>
      <c r="K103" s="9"/>
      <c r="L103" s="9"/>
      <c r="M103" s="206"/>
      <c r="N103" s="207"/>
      <c r="O103" s="208"/>
      <c r="P103" s="105"/>
      <c r="Q103" s="105"/>
      <c r="R103" s="209" t="s">
        <v>29</v>
      </c>
      <c r="S103" s="209"/>
      <c r="T103" s="209" t="s">
        <v>30</v>
      </c>
      <c r="U103" s="209"/>
      <c r="V103" s="209" t="s">
        <v>31</v>
      </c>
      <c r="W103" s="209"/>
    </row>
    <row r="104" spans="1:23" ht="15.75" thickBot="1" x14ac:dyDescent="0.3">
      <c r="A104" s="210" t="s">
        <v>224</v>
      </c>
      <c r="B104" s="211"/>
      <c r="C104" s="104"/>
      <c r="D104" s="1"/>
      <c r="E104" s="191" t="s">
        <v>98</v>
      </c>
      <c r="F104" s="191"/>
      <c r="G104" s="191" t="s">
        <v>99</v>
      </c>
      <c r="H104" s="191"/>
      <c r="I104" s="191" t="s">
        <v>0</v>
      </c>
      <c r="J104" s="191"/>
      <c r="K104" s="9"/>
      <c r="L104" s="9"/>
      <c r="M104" s="191" t="s">
        <v>33</v>
      </c>
      <c r="N104" s="191"/>
      <c r="O104" s="191"/>
      <c r="P104" s="1" t="s">
        <v>249</v>
      </c>
      <c r="Q104" s="1" t="s">
        <v>22</v>
      </c>
      <c r="R104" s="1" t="s">
        <v>23</v>
      </c>
      <c r="S104" s="1" t="s">
        <v>24</v>
      </c>
      <c r="T104" s="1" t="s">
        <v>25</v>
      </c>
      <c r="U104" s="1" t="s">
        <v>26</v>
      </c>
      <c r="V104" s="1" t="s">
        <v>27</v>
      </c>
      <c r="W104" s="1" t="s">
        <v>28</v>
      </c>
    </row>
    <row r="105" spans="1:23" x14ac:dyDescent="0.25">
      <c r="A105" s="107" t="s">
        <v>225</v>
      </c>
      <c r="B105" s="107" t="s">
        <v>226</v>
      </c>
      <c r="C105" s="1"/>
      <c r="D105" s="60"/>
      <c r="E105" s="60" t="s">
        <v>95</v>
      </c>
      <c r="F105" s="60" t="s">
        <v>96</v>
      </c>
      <c r="G105" s="60" t="s">
        <v>95</v>
      </c>
      <c r="H105" s="60" t="s">
        <v>96</v>
      </c>
      <c r="I105" s="1"/>
      <c r="J105" s="1"/>
      <c r="K105" s="9"/>
      <c r="L105" s="9">
        <v>1</v>
      </c>
      <c r="M105" s="178" t="s">
        <v>2</v>
      </c>
      <c r="N105" s="178"/>
      <c r="O105" s="178"/>
      <c r="P105" s="38">
        <f>(I106+I129+I185)</f>
        <v>33314602.5</v>
      </c>
      <c r="Q105" s="38">
        <f>(J115+J120+J124+J127+J155+J162+J168+J229)</f>
        <v>29917170.48371736</v>
      </c>
      <c r="R105" s="38">
        <f>(P105-Q105)</f>
        <v>3397432.0162826404</v>
      </c>
      <c r="S105" s="52"/>
      <c r="T105" s="38">
        <f>(R105)</f>
        <v>3397432.0162826404</v>
      </c>
      <c r="U105" s="1"/>
      <c r="V105" s="1"/>
      <c r="W105" s="1"/>
    </row>
    <row r="106" spans="1:23" x14ac:dyDescent="0.25">
      <c r="A106" s="106" t="s">
        <v>51</v>
      </c>
      <c r="B106" s="107"/>
      <c r="C106" s="28">
        <v>43770</v>
      </c>
      <c r="D106" s="29" t="s">
        <v>2</v>
      </c>
      <c r="E106" s="1">
        <v>17000000</v>
      </c>
      <c r="F106" s="1"/>
      <c r="G106" s="1">
        <v>0</v>
      </c>
      <c r="H106" s="1"/>
      <c r="I106" s="1">
        <f>(E106+G106)</f>
        <v>17000000</v>
      </c>
      <c r="J106" s="1"/>
      <c r="K106" s="9"/>
      <c r="L106" s="9">
        <f>(L105)+1</f>
        <v>2</v>
      </c>
      <c r="M106" s="178" t="s">
        <v>215</v>
      </c>
      <c r="N106" s="178"/>
      <c r="O106" s="178"/>
      <c r="P106" s="38">
        <f>(I130+I167+I186)</f>
        <v>19611028.25</v>
      </c>
      <c r="Q106" s="38">
        <f>(J110+J114+J119+J123+J163+J179+J183+J193)</f>
        <v>13158888.919970939</v>
      </c>
      <c r="R106" s="38">
        <f t="shared" ref="R106:R116" si="0">(P106-Q106)</f>
        <v>6452139.3300290611</v>
      </c>
      <c r="S106" s="52"/>
      <c r="T106" s="38">
        <f t="shared" ref="T106:T116" si="1">(R106)</f>
        <v>6452139.3300290611</v>
      </c>
      <c r="U106" s="1"/>
      <c r="V106" s="1"/>
      <c r="W106" s="1"/>
    </row>
    <row r="107" spans="1:23" x14ac:dyDescent="0.25">
      <c r="A107" s="106"/>
      <c r="B107" s="106"/>
      <c r="C107" s="1"/>
      <c r="D107" s="56" t="s">
        <v>16</v>
      </c>
      <c r="E107" s="1"/>
      <c r="F107" s="1">
        <v>17000000</v>
      </c>
      <c r="G107" s="1"/>
      <c r="H107" s="1">
        <v>0</v>
      </c>
      <c r="I107" s="1"/>
      <c r="J107" s="1">
        <f>(F107+H107)</f>
        <v>17000000</v>
      </c>
      <c r="K107" s="9"/>
      <c r="L107" s="25">
        <f t="shared" ref="L107:L151" si="2">(L106)+1</f>
        <v>3</v>
      </c>
      <c r="M107" s="178" t="s">
        <v>11</v>
      </c>
      <c r="N107" s="178"/>
      <c r="O107" s="178"/>
      <c r="P107" s="38">
        <f>(I131)</f>
        <v>16050630.75</v>
      </c>
      <c r="Q107" s="38">
        <f>(J187)</f>
        <v>9788761.5</v>
      </c>
      <c r="R107" s="38">
        <f t="shared" si="0"/>
        <v>6261869.25</v>
      </c>
      <c r="S107" s="38"/>
      <c r="T107" s="38">
        <f t="shared" si="1"/>
        <v>6261869.25</v>
      </c>
      <c r="U107" s="6"/>
      <c r="V107" s="6"/>
      <c r="W107" s="6"/>
    </row>
    <row r="108" spans="1:23" x14ac:dyDescent="0.25">
      <c r="A108" s="108"/>
      <c r="B108" s="108"/>
      <c r="C108" s="44"/>
      <c r="D108" s="53" t="s">
        <v>100</v>
      </c>
      <c r="E108" s="44"/>
      <c r="F108" s="44">
        <f>(E106-F107)</f>
        <v>0</v>
      </c>
      <c r="G108" s="44"/>
      <c r="H108" s="44"/>
      <c r="I108" s="44"/>
      <c r="J108" s="44">
        <f>(I106-J107)</f>
        <v>0</v>
      </c>
      <c r="K108" s="9"/>
      <c r="L108" s="25">
        <f t="shared" si="2"/>
        <v>4</v>
      </c>
      <c r="M108" s="178" t="s">
        <v>6</v>
      </c>
      <c r="N108" s="178"/>
      <c r="O108" s="178"/>
      <c r="P108" s="52">
        <f>(I159)</f>
        <v>16660425</v>
      </c>
      <c r="Q108" s="38">
        <f>(J202)</f>
        <v>12241050</v>
      </c>
      <c r="R108" s="38">
        <f t="shared" si="0"/>
        <v>4419375</v>
      </c>
      <c r="S108" s="38"/>
      <c r="T108" s="38">
        <f t="shared" si="1"/>
        <v>4419375</v>
      </c>
      <c r="U108" s="6"/>
      <c r="V108" s="6"/>
      <c r="W108" s="6"/>
    </row>
    <row r="109" spans="1:23" x14ac:dyDescent="0.25">
      <c r="A109" s="106"/>
      <c r="B109" s="106" t="s">
        <v>110</v>
      </c>
      <c r="C109" s="28">
        <v>43816</v>
      </c>
      <c r="D109" s="29" t="s">
        <v>102</v>
      </c>
      <c r="E109" s="1"/>
      <c r="F109" s="1"/>
      <c r="G109" s="1">
        <v>63567</v>
      </c>
      <c r="H109" s="1"/>
      <c r="I109" s="1">
        <f t="shared" ref="I109:I161" si="3">(E109+G109)</f>
        <v>63567</v>
      </c>
      <c r="J109" s="1"/>
      <c r="K109" s="9"/>
      <c r="L109" s="9">
        <f t="shared" si="2"/>
        <v>5</v>
      </c>
      <c r="M109" s="178" t="s">
        <v>14</v>
      </c>
      <c r="N109" s="178"/>
      <c r="O109" s="178"/>
      <c r="P109" s="52">
        <f>(I192+I198)</f>
        <v>625000</v>
      </c>
      <c r="Q109" s="38"/>
      <c r="R109" s="38">
        <f t="shared" si="0"/>
        <v>625000</v>
      </c>
      <c r="S109" s="38"/>
      <c r="T109" s="38">
        <f t="shared" si="1"/>
        <v>625000</v>
      </c>
      <c r="U109" s="6"/>
      <c r="V109" s="6"/>
      <c r="W109" s="6"/>
    </row>
    <row r="110" spans="1:23" x14ac:dyDescent="0.25">
      <c r="A110" s="106"/>
      <c r="B110" s="106"/>
      <c r="C110" s="1"/>
      <c r="D110" s="56" t="s">
        <v>215</v>
      </c>
      <c r="E110" s="1"/>
      <c r="F110" s="1"/>
      <c r="G110" s="1"/>
      <c r="H110" s="1">
        <f>(G109)</f>
        <v>63567</v>
      </c>
      <c r="I110" s="1"/>
      <c r="J110" s="1">
        <f t="shared" ref="J110:J165" si="4">(F110+H110)</f>
        <v>63567</v>
      </c>
      <c r="K110" s="9"/>
      <c r="L110" s="9">
        <f t="shared" si="2"/>
        <v>6</v>
      </c>
      <c r="M110" s="178" t="s">
        <v>13</v>
      </c>
      <c r="N110" s="178"/>
      <c r="O110" s="178"/>
      <c r="P110" s="52">
        <f>(I160+I210)</f>
        <v>8116200</v>
      </c>
      <c r="Q110" s="38">
        <f>(J215+J219)</f>
        <v>454507.2</v>
      </c>
      <c r="R110" s="38">
        <f t="shared" si="0"/>
        <v>7661692.7999999998</v>
      </c>
      <c r="S110" s="38"/>
      <c r="T110" s="38">
        <f t="shared" si="1"/>
        <v>7661692.7999999998</v>
      </c>
      <c r="U110" s="6"/>
      <c r="V110" s="6"/>
      <c r="W110" s="6"/>
    </row>
    <row r="111" spans="1:23" x14ac:dyDescent="0.25">
      <c r="A111" s="108"/>
      <c r="B111" s="108"/>
      <c r="C111" s="44"/>
      <c r="D111" s="53" t="s">
        <v>104</v>
      </c>
      <c r="E111" s="44"/>
      <c r="F111" s="44"/>
      <c r="G111" s="44"/>
      <c r="H111" s="44"/>
      <c r="I111" s="44"/>
      <c r="J111" s="44"/>
      <c r="K111" s="9"/>
      <c r="L111" s="9">
        <f t="shared" si="2"/>
        <v>7</v>
      </c>
      <c r="M111" s="178" t="s">
        <v>7</v>
      </c>
      <c r="N111" s="178"/>
      <c r="O111" s="178"/>
      <c r="P111" s="52">
        <f>(I157+I211)</f>
        <v>391420</v>
      </c>
      <c r="Q111" s="38">
        <f>(J216+J220)</f>
        <v>20130.17142857143</v>
      </c>
      <c r="R111" s="38">
        <f t="shared" si="0"/>
        <v>371289.82857142854</v>
      </c>
      <c r="S111" s="38"/>
      <c r="T111" s="38">
        <f t="shared" si="1"/>
        <v>371289.82857142854</v>
      </c>
      <c r="U111" s="6"/>
      <c r="V111" s="6"/>
      <c r="W111" s="6"/>
    </row>
    <row r="112" spans="1:23" x14ac:dyDescent="0.25">
      <c r="A112" s="106" t="s">
        <v>101</v>
      </c>
      <c r="B112" s="106"/>
      <c r="C112" s="28">
        <v>43777</v>
      </c>
      <c r="D112" s="29" t="s">
        <v>105</v>
      </c>
      <c r="E112" s="1">
        <f>NOVIEMBRE!E101</f>
        <v>295000</v>
      </c>
      <c r="F112" s="1"/>
      <c r="G112" s="1">
        <v>295000</v>
      </c>
      <c r="H112" s="1"/>
      <c r="I112" s="1">
        <f t="shared" si="3"/>
        <v>590000</v>
      </c>
      <c r="J112" s="1"/>
      <c r="K112" s="9"/>
      <c r="L112" s="9">
        <f t="shared" si="2"/>
        <v>8</v>
      </c>
      <c r="M112" s="178" t="s">
        <v>254</v>
      </c>
      <c r="N112" s="178"/>
      <c r="O112" s="178"/>
      <c r="P112" s="38">
        <f>(I214)</f>
        <v>340304.8</v>
      </c>
      <c r="Q112" s="38"/>
      <c r="R112" s="38">
        <f t="shared" si="0"/>
        <v>340304.8</v>
      </c>
      <c r="S112" s="38"/>
      <c r="T112" s="38">
        <f t="shared" si="1"/>
        <v>340304.8</v>
      </c>
      <c r="U112" s="6"/>
      <c r="V112" s="6"/>
      <c r="W112" s="6"/>
    </row>
    <row r="113" spans="1:23" x14ac:dyDescent="0.25">
      <c r="A113" s="106"/>
      <c r="B113" s="106" t="s">
        <v>51</v>
      </c>
      <c r="C113" s="28">
        <v>43801</v>
      </c>
      <c r="D113" s="29" t="s">
        <v>106</v>
      </c>
      <c r="E113" s="1">
        <f>NOVIEMBRE!E102</f>
        <v>295000</v>
      </c>
      <c r="F113" s="1"/>
      <c r="G113" s="1"/>
      <c r="H113" s="1"/>
      <c r="I113" s="1">
        <f t="shared" si="3"/>
        <v>295000</v>
      </c>
      <c r="J113" s="1"/>
      <c r="K113" s="9"/>
      <c r="L113" s="9">
        <f t="shared" si="2"/>
        <v>9</v>
      </c>
      <c r="M113" s="178" t="s">
        <v>255</v>
      </c>
      <c r="N113" s="178"/>
      <c r="O113" s="178"/>
      <c r="P113" s="52">
        <f>(I113)</f>
        <v>295000</v>
      </c>
      <c r="Q113" s="38"/>
      <c r="R113" s="38">
        <f t="shared" si="0"/>
        <v>295000</v>
      </c>
      <c r="S113" s="38"/>
      <c r="T113" s="38">
        <f t="shared" si="1"/>
        <v>295000</v>
      </c>
      <c r="U113" s="6"/>
      <c r="V113" s="6"/>
      <c r="W113" s="6"/>
    </row>
    <row r="114" spans="1:23" x14ac:dyDescent="0.25">
      <c r="A114" s="106"/>
      <c r="B114" s="106"/>
      <c r="C114" s="1"/>
      <c r="D114" s="56" t="s">
        <v>215</v>
      </c>
      <c r="E114" s="1"/>
      <c r="F114" s="1"/>
      <c r="G114" s="1"/>
      <c r="H114" s="1"/>
      <c r="I114" s="1"/>
      <c r="J114" s="1">
        <f>(F114+H114)</f>
        <v>0</v>
      </c>
      <c r="K114" s="9"/>
      <c r="L114" s="9">
        <f t="shared" si="2"/>
        <v>10</v>
      </c>
      <c r="M114" s="178" t="s">
        <v>15</v>
      </c>
      <c r="N114" s="178"/>
      <c r="O114" s="178"/>
      <c r="P114" s="52">
        <f>(I122)</f>
        <v>12250000</v>
      </c>
      <c r="Q114" s="38"/>
      <c r="R114" s="38">
        <f t="shared" si="0"/>
        <v>12250000</v>
      </c>
      <c r="S114" s="38"/>
      <c r="T114" s="38">
        <f t="shared" si="1"/>
        <v>12250000</v>
      </c>
      <c r="U114" s="6"/>
      <c r="V114" s="6"/>
      <c r="W114" s="6"/>
    </row>
    <row r="115" spans="1:23" x14ac:dyDescent="0.25">
      <c r="A115" s="106"/>
      <c r="B115" s="106"/>
      <c r="C115" s="1"/>
      <c r="D115" s="56" t="s">
        <v>2</v>
      </c>
      <c r="E115" s="1"/>
      <c r="F115" s="1">
        <f>(NOVIEMBRE!F104)</f>
        <v>590000</v>
      </c>
      <c r="G115" s="1"/>
      <c r="H115" s="1">
        <v>295000</v>
      </c>
      <c r="I115" s="1"/>
      <c r="J115" s="1">
        <f t="shared" si="4"/>
        <v>885000</v>
      </c>
      <c r="K115" s="9"/>
      <c r="L115" s="25">
        <f t="shared" si="2"/>
        <v>11</v>
      </c>
      <c r="M115" s="178" t="s">
        <v>214</v>
      </c>
      <c r="N115" s="178"/>
      <c r="O115" s="178"/>
      <c r="P115" s="52">
        <f>(I126+I228)</f>
        <v>1800000</v>
      </c>
      <c r="Q115" s="38">
        <f>(J154)</f>
        <v>1800000</v>
      </c>
      <c r="R115" s="38">
        <f t="shared" si="0"/>
        <v>0</v>
      </c>
      <c r="S115" s="38"/>
      <c r="T115" s="38">
        <f t="shared" si="1"/>
        <v>0</v>
      </c>
      <c r="U115" s="6"/>
      <c r="V115" s="6"/>
      <c r="W115" s="6"/>
    </row>
    <row r="116" spans="1:23" x14ac:dyDescent="0.25">
      <c r="A116" s="108"/>
      <c r="B116" s="108"/>
      <c r="C116" s="44"/>
      <c r="D116" s="53" t="s">
        <v>107</v>
      </c>
      <c r="E116" s="44"/>
      <c r="F116" s="44"/>
      <c r="G116" s="44"/>
      <c r="H116" s="44"/>
      <c r="I116" s="44"/>
      <c r="J116" s="44">
        <f>(I112+I113-J114-J115)</f>
        <v>0</v>
      </c>
      <c r="K116" s="9"/>
      <c r="L116" s="9">
        <f t="shared" si="2"/>
        <v>12</v>
      </c>
      <c r="M116" s="178" t="s">
        <v>10</v>
      </c>
      <c r="N116" s="178"/>
      <c r="O116" s="178"/>
      <c r="P116" s="38">
        <f>(I161+J225)</f>
        <v>4790661.3</v>
      </c>
      <c r="Q116" s="38">
        <f>(J196+J223)</f>
        <v>4790661</v>
      </c>
      <c r="R116" s="38">
        <f t="shared" si="0"/>
        <v>0.29999999981373549</v>
      </c>
      <c r="S116" s="38"/>
      <c r="T116" s="38">
        <f t="shared" si="1"/>
        <v>0.29999999981373549</v>
      </c>
      <c r="U116" s="6"/>
      <c r="V116" s="6"/>
      <c r="W116" s="6"/>
    </row>
    <row r="117" spans="1:23" x14ac:dyDescent="0.25">
      <c r="A117" s="106" t="s">
        <v>227</v>
      </c>
      <c r="B117" s="106"/>
      <c r="C117" s="28">
        <v>43784</v>
      </c>
      <c r="D117" s="29" t="s">
        <v>18</v>
      </c>
      <c r="E117" s="1">
        <f>NOVIEMBRE!E106</f>
        <v>315000</v>
      </c>
      <c r="F117" s="1"/>
      <c r="G117" s="1">
        <v>295000</v>
      </c>
      <c r="H117" s="1"/>
      <c r="I117" s="1">
        <f t="shared" si="3"/>
        <v>610000</v>
      </c>
      <c r="J117" s="1"/>
      <c r="K117" s="9"/>
      <c r="L117" s="72">
        <f t="shared" si="2"/>
        <v>13</v>
      </c>
      <c r="M117" s="176" t="s">
        <v>12</v>
      </c>
      <c r="N117" s="176"/>
      <c r="O117" s="176"/>
      <c r="P117" s="119">
        <f>(I189+I195)</f>
        <v>4790661</v>
      </c>
      <c r="Q117" s="33">
        <f>(J133)</f>
        <v>5937500</v>
      </c>
      <c r="R117" s="33"/>
      <c r="S117" s="33">
        <f>(Q117-P117)</f>
        <v>1146839</v>
      </c>
      <c r="T117" s="33"/>
      <c r="U117" s="33">
        <f>(S117)</f>
        <v>1146839</v>
      </c>
      <c r="V117" s="6"/>
      <c r="W117" s="6"/>
    </row>
    <row r="118" spans="1:23" x14ac:dyDescent="0.25">
      <c r="A118" s="106"/>
      <c r="B118" s="106" t="s">
        <v>229</v>
      </c>
      <c r="C118" s="28">
        <v>43814</v>
      </c>
      <c r="D118" s="56" t="s">
        <v>108</v>
      </c>
      <c r="E118" s="54"/>
      <c r="F118" s="54">
        <f>NOVIEMBRE!F107</f>
        <v>33863</v>
      </c>
      <c r="G118" s="1"/>
      <c r="H118" s="1">
        <v>31713</v>
      </c>
      <c r="I118" s="1"/>
      <c r="J118" s="1">
        <f t="shared" si="4"/>
        <v>65576</v>
      </c>
      <c r="K118" s="9"/>
      <c r="L118" s="72">
        <f t="shared" si="2"/>
        <v>14</v>
      </c>
      <c r="M118" s="176" t="s">
        <v>257</v>
      </c>
      <c r="N118" s="176"/>
      <c r="O118" s="176"/>
      <c r="P118" s="33">
        <f>(I190)</f>
        <v>33862.5</v>
      </c>
      <c r="Q118" s="33">
        <f>(J118)</f>
        <v>65576</v>
      </c>
      <c r="R118" s="33"/>
      <c r="S118" s="33">
        <f t="shared" ref="S118:S131" si="5">(Q118-P118)</f>
        <v>31713.5</v>
      </c>
      <c r="T118" s="33"/>
      <c r="U118" s="33">
        <f t="shared" ref="U118:U131" si="6">(S118)</f>
        <v>31713.5</v>
      </c>
      <c r="V118" s="6"/>
      <c r="W118" s="6"/>
    </row>
    <row r="119" spans="1:23" x14ac:dyDescent="0.25">
      <c r="A119" s="106"/>
      <c r="B119" s="106"/>
      <c r="C119" s="1"/>
      <c r="D119" s="56" t="s">
        <v>215</v>
      </c>
      <c r="E119" s="54"/>
      <c r="F119" s="54">
        <f>NOVIEMBRE!F108</f>
        <v>0</v>
      </c>
      <c r="G119" s="1"/>
      <c r="H119" s="1">
        <v>263287</v>
      </c>
      <c r="I119" s="1"/>
      <c r="J119" s="1">
        <f t="shared" si="4"/>
        <v>263287</v>
      </c>
      <c r="K119" s="9"/>
      <c r="L119" s="72">
        <f t="shared" si="2"/>
        <v>15</v>
      </c>
      <c r="M119" s="176" t="s">
        <v>196</v>
      </c>
      <c r="N119" s="176"/>
      <c r="O119" s="176"/>
      <c r="P119" s="33">
        <f>(I191)</f>
        <v>20753.858484173332</v>
      </c>
      <c r="Q119" s="33">
        <f>(J151)</f>
        <v>57775.705970173345</v>
      </c>
      <c r="R119" s="33"/>
      <c r="S119" s="33">
        <f t="shared" si="5"/>
        <v>37021.847486000013</v>
      </c>
      <c r="T119" s="33"/>
      <c r="U119" s="33">
        <f t="shared" si="6"/>
        <v>37021.847486000013</v>
      </c>
      <c r="V119" s="6"/>
      <c r="W119" s="6"/>
    </row>
    <row r="120" spans="1:23" x14ac:dyDescent="0.25">
      <c r="A120" s="106"/>
      <c r="B120" s="106"/>
      <c r="C120" s="1"/>
      <c r="D120" s="56" t="s">
        <v>2</v>
      </c>
      <c r="E120" s="54"/>
      <c r="F120" s="54">
        <f>NOVIEMBRE!F109</f>
        <v>281137</v>
      </c>
      <c r="G120" s="1"/>
      <c r="H120" s="1"/>
      <c r="I120" s="1"/>
      <c r="J120" s="1">
        <f t="shared" si="4"/>
        <v>281137</v>
      </c>
      <c r="K120" s="9"/>
      <c r="L120" s="153">
        <f t="shared" si="2"/>
        <v>16</v>
      </c>
      <c r="M120" s="176" t="s">
        <v>121</v>
      </c>
      <c r="N120" s="176"/>
      <c r="O120" s="176"/>
      <c r="P120" s="119"/>
      <c r="Q120" s="33">
        <f>(J199)</f>
        <v>350805</v>
      </c>
      <c r="R120" s="33"/>
      <c r="S120" s="33">
        <f t="shared" si="5"/>
        <v>350805</v>
      </c>
      <c r="T120" s="33"/>
      <c r="U120" s="33">
        <f t="shared" si="6"/>
        <v>350805</v>
      </c>
      <c r="V120" s="6"/>
      <c r="W120" s="6"/>
    </row>
    <row r="121" spans="1:23" x14ac:dyDescent="0.25">
      <c r="A121" s="108"/>
      <c r="B121" s="108"/>
      <c r="C121" s="44"/>
      <c r="D121" s="53" t="s">
        <v>109</v>
      </c>
      <c r="E121" s="44"/>
      <c r="F121" s="44">
        <f>(E117-F118-F119-F120)</f>
        <v>0</v>
      </c>
      <c r="G121" s="44"/>
      <c r="H121" s="44">
        <f>(G117-H118-H119-H120)</f>
        <v>0</v>
      </c>
      <c r="I121" s="44"/>
      <c r="J121" s="44">
        <f>(I117-J118-J119-J120)</f>
        <v>0</v>
      </c>
      <c r="K121" s="9"/>
      <c r="L121" s="72">
        <f t="shared" si="2"/>
        <v>17</v>
      </c>
      <c r="M121" s="176" t="s">
        <v>65</v>
      </c>
      <c r="N121" s="176"/>
      <c r="O121" s="176"/>
      <c r="P121" s="33">
        <f>(I171)</f>
        <v>167391.78092766667</v>
      </c>
      <c r="Q121" s="33">
        <f>(J145)</f>
        <v>385510.82875266671</v>
      </c>
      <c r="R121" s="33"/>
      <c r="S121" s="33">
        <f t="shared" si="5"/>
        <v>218119.04782500005</v>
      </c>
      <c r="T121" s="33"/>
      <c r="U121" s="33">
        <f t="shared" si="6"/>
        <v>218119.04782500005</v>
      </c>
      <c r="V121" s="6"/>
      <c r="W121" s="6"/>
    </row>
    <row r="122" spans="1:23" x14ac:dyDescent="0.25">
      <c r="A122" s="106" t="s">
        <v>230</v>
      </c>
      <c r="B122" s="106"/>
      <c r="C122" s="28">
        <v>43799</v>
      </c>
      <c r="D122" s="29" t="s">
        <v>15</v>
      </c>
      <c r="E122" s="1">
        <f>NOVIEMBRE!E111</f>
        <v>4750000</v>
      </c>
      <c r="F122" s="1"/>
      <c r="G122" s="1">
        <v>7500000</v>
      </c>
      <c r="H122" s="1"/>
      <c r="I122" s="1">
        <f t="shared" si="3"/>
        <v>12250000</v>
      </c>
      <c r="J122" s="1"/>
      <c r="K122" s="9"/>
      <c r="L122" s="72">
        <f t="shared" si="2"/>
        <v>18</v>
      </c>
      <c r="M122" s="176" t="s">
        <v>193</v>
      </c>
      <c r="N122" s="176"/>
      <c r="O122" s="176"/>
      <c r="P122" s="33">
        <f>(I172)</f>
        <v>63880.469856700001</v>
      </c>
      <c r="Q122" s="33">
        <f>(J146)</f>
        <v>153547.14961179998</v>
      </c>
      <c r="R122" s="33"/>
      <c r="S122" s="33">
        <f t="shared" si="5"/>
        <v>89666.679755099976</v>
      </c>
      <c r="T122" s="33"/>
      <c r="U122" s="33">
        <f t="shared" si="6"/>
        <v>89666.679755099976</v>
      </c>
      <c r="V122" s="6"/>
      <c r="W122" s="6"/>
    </row>
    <row r="123" spans="1:23" x14ac:dyDescent="0.25">
      <c r="A123" s="106"/>
      <c r="B123" s="106" t="s">
        <v>236</v>
      </c>
      <c r="C123" s="28">
        <v>43822</v>
      </c>
      <c r="D123" s="56" t="s">
        <v>215</v>
      </c>
      <c r="E123" s="1"/>
      <c r="F123" s="1">
        <f>NOVIEMBRE!F112</f>
        <v>0</v>
      </c>
      <c r="G123" s="1"/>
      <c r="H123" s="1"/>
      <c r="I123" s="1"/>
      <c r="J123" s="1">
        <f t="shared" si="4"/>
        <v>0</v>
      </c>
      <c r="K123" s="9"/>
      <c r="L123" s="72">
        <f t="shared" si="2"/>
        <v>19</v>
      </c>
      <c r="M123" s="176" t="s">
        <v>258</v>
      </c>
      <c r="N123" s="176"/>
      <c r="O123" s="176"/>
      <c r="P123" s="33">
        <f>(I173)</f>
        <v>39677.310470000004</v>
      </c>
      <c r="Q123" s="33">
        <f>(J147)</f>
        <v>95370.900380000006</v>
      </c>
      <c r="R123" s="33"/>
      <c r="S123" s="33">
        <f t="shared" si="5"/>
        <v>55693.589910000002</v>
      </c>
      <c r="T123" s="33"/>
      <c r="U123" s="33">
        <f t="shared" si="6"/>
        <v>55693.589910000002</v>
      </c>
      <c r="V123" s="6"/>
      <c r="W123" s="6"/>
    </row>
    <row r="124" spans="1:23" x14ac:dyDescent="0.25">
      <c r="A124" s="106"/>
      <c r="B124" s="106"/>
      <c r="C124" s="1"/>
      <c r="D124" s="56" t="s">
        <v>2</v>
      </c>
      <c r="E124" s="54"/>
      <c r="F124" s="1">
        <f>NOVIEMBRE!F113</f>
        <v>4750000</v>
      </c>
      <c r="G124" s="1"/>
      <c r="H124" s="1">
        <v>7500000</v>
      </c>
      <c r="I124" s="1"/>
      <c r="J124" s="1">
        <f t="shared" si="4"/>
        <v>12250000</v>
      </c>
      <c r="K124" s="9"/>
      <c r="L124" s="72">
        <f t="shared" si="2"/>
        <v>20</v>
      </c>
      <c r="M124" s="176" t="s">
        <v>154</v>
      </c>
      <c r="N124" s="176"/>
      <c r="O124" s="176"/>
      <c r="P124" s="33">
        <f>(I174)</f>
        <v>102335.58659333334</v>
      </c>
      <c r="Q124" s="33">
        <f>(J148)</f>
        <v>235683.47609333336</v>
      </c>
      <c r="R124" s="33"/>
      <c r="S124" s="33">
        <f t="shared" si="5"/>
        <v>133347.88950000002</v>
      </c>
      <c r="T124" s="33"/>
      <c r="U124" s="33">
        <f t="shared" si="6"/>
        <v>133347.88950000002</v>
      </c>
      <c r="V124" s="6"/>
      <c r="W124" s="6"/>
    </row>
    <row r="125" spans="1:23" x14ac:dyDescent="0.25">
      <c r="A125" s="108"/>
      <c r="B125" s="108"/>
      <c r="C125" s="44"/>
      <c r="D125" s="53" t="s">
        <v>112</v>
      </c>
      <c r="E125" s="55"/>
      <c r="F125" s="55">
        <f>(E122-F123-F124)</f>
        <v>0</v>
      </c>
      <c r="G125" s="44"/>
      <c r="H125" s="55">
        <f>(G122-H123-H124)</f>
        <v>0</v>
      </c>
      <c r="I125" s="44"/>
      <c r="J125" s="55">
        <f>(I122-J123-J124)</f>
        <v>0</v>
      </c>
      <c r="K125" s="9"/>
      <c r="L125" s="72">
        <f t="shared" si="2"/>
        <v>21</v>
      </c>
      <c r="M125" s="176" t="s">
        <v>211</v>
      </c>
      <c r="N125" s="176"/>
      <c r="O125" s="176"/>
      <c r="P125" s="33">
        <f>(I176)</f>
        <v>53356.274182366666</v>
      </c>
      <c r="Q125" s="33">
        <f>(J150)</f>
        <v>124381.85858926666</v>
      </c>
      <c r="R125" s="33"/>
      <c r="S125" s="33">
        <f t="shared" si="5"/>
        <v>71025.584406899987</v>
      </c>
      <c r="T125" s="33"/>
      <c r="U125" s="33">
        <f t="shared" si="6"/>
        <v>71025.584406899987</v>
      </c>
      <c r="V125" s="6"/>
      <c r="W125" s="6"/>
    </row>
    <row r="126" spans="1:23" x14ac:dyDescent="0.25">
      <c r="A126" s="106" t="s">
        <v>228</v>
      </c>
      <c r="B126" s="109"/>
      <c r="C126" s="31">
        <v>43784</v>
      </c>
      <c r="D126" s="75" t="s">
        <v>232</v>
      </c>
      <c r="E126" s="56">
        <f>NOVIEMBRE!E115</f>
        <v>550000</v>
      </c>
      <c r="F126" s="56"/>
      <c r="G126" s="29">
        <v>850000</v>
      </c>
      <c r="H126" s="29"/>
      <c r="I126" s="1">
        <f t="shared" ref="I126" si="7">(E126+G126)</f>
        <v>1400000</v>
      </c>
      <c r="J126" s="1"/>
      <c r="K126" s="9"/>
      <c r="L126" s="72">
        <f t="shared" si="2"/>
        <v>22</v>
      </c>
      <c r="M126" s="176" t="s">
        <v>260</v>
      </c>
      <c r="N126" s="176"/>
      <c r="O126" s="176"/>
      <c r="P126" s="33">
        <f>(I175)</f>
        <v>8771.6217080000006</v>
      </c>
      <c r="Q126" s="33">
        <f>(J149)</f>
        <v>20201.440807999999</v>
      </c>
      <c r="R126" s="33"/>
      <c r="S126" s="33">
        <f t="shared" si="5"/>
        <v>11429.819099999999</v>
      </c>
      <c r="T126" s="33"/>
      <c r="U126" s="33">
        <f t="shared" si="6"/>
        <v>11429.819099999999</v>
      </c>
      <c r="V126" s="6"/>
      <c r="W126" s="6"/>
    </row>
    <row r="127" spans="1:23" x14ac:dyDescent="0.25">
      <c r="A127" s="106"/>
      <c r="B127" s="109" t="s">
        <v>230</v>
      </c>
      <c r="C127" s="31">
        <v>43814</v>
      </c>
      <c r="D127" s="56" t="s">
        <v>2</v>
      </c>
      <c r="E127" s="56"/>
      <c r="F127" s="56">
        <f>NOVIEMBRE!F116</f>
        <v>550000</v>
      </c>
      <c r="G127" s="29"/>
      <c r="H127" s="29">
        <v>850000</v>
      </c>
      <c r="I127" s="1"/>
      <c r="J127" s="1">
        <f t="shared" ref="J127" si="8">(F127+H127)</f>
        <v>1400000</v>
      </c>
      <c r="K127" s="9"/>
      <c r="L127" s="72">
        <f t="shared" si="2"/>
        <v>23</v>
      </c>
      <c r="M127" s="176" t="s">
        <v>259</v>
      </c>
      <c r="N127" s="176"/>
      <c r="O127" s="176"/>
      <c r="P127" s="33">
        <f>(I178)</f>
        <v>52091.048462000006</v>
      </c>
      <c r="Q127" s="33">
        <f>(J153)</f>
        <v>121679.00625200001</v>
      </c>
      <c r="R127" s="33"/>
      <c r="S127" s="33">
        <f t="shared" si="5"/>
        <v>69587.95779</v>
      </c>
      <c r="T127" s="33"/>
      <c r="U127" s="33">
        <f t="shared" si="6"/>
        <v>69587.95779</v>
      </c>
      <c r="V127" s="6"/>
      <c r="W127" s="6"/>
    </row>
    <row r="128" spans="1:23" x14ac:dyDescent="0.25">
      <c r="A128" s="108"/>
      <c r="B128" s="108"/>
      <c r="C128" s="44"/>
      <c r="D128" s="53" t="s">
        <v>213</v>
      </c>
      <c r="E128" s="55"/>
      <c r="F128" s="55"/>
      <c r="G128" s="44"/>
      <c r="H128" s="44"/>
      <c r="I128" s="44"/>
      <c r="J128" s="44"/>
      <c r="K128" s="9"/>
      <c r="L128" s="72">
        <f t="shared" si="2"/>
        <v>24</v>
      </c>
      <c r="M128" s="176" t="s">
        <v>201</v>
      </c>
      <c r="N128" s="176"/>
      <c r="O128" s="176"/>
      <c r="P128" s="33">
        <f>(I177)</f>
        <v>31039.961786700002</v>
      </c>
      <c r="Q128" s="33">
        <f>(J152)</f>
        <v>72359.02800060001</v>
      </c>
      <c r="R128" s="33"/>
      <c r="S128" s="33">
        <f t="shared" si="5"/>
        <v>41319.066213900005</v>
      </c>
      <c r="T128" s="33"/>
      <c r="U128" s="33">
        <f t="shared" si="6"/>
        <v>41319.066213900005</v>
      </c>
      <c r="V128" s="6"/>
      <c r="W128" s="6"/>
    </row>
    <row r="129" spans="1:27" x14ac:dyDescent="0.25">
      <c r="A129" s="106" t="s">
        <v>103</v>
      </c>
      <c r="B129" s="106"/>
      <c r="C129" s="28">
        <v>43772</v>
      </c>
      <c r="D129" s="29" t="s">
        <v>2</v>
      </c>
      <c r="E129" s="34">
        <f>NOVIEMBRE!E118</f>
        <v>6525841</v>
      </c>
      <c r="F129" s="29"/>
      <c r="G129" s="1"/>
      <c r="H129" s="1"/>
      <c r="I129" s="1">
        <f t="shared" si="3"/>
        <v>6525841</v>
      </c>
      <c r="J129" s="1"/>
      <c r="K129" s="9"/>
      <c r="L129" s="153">
        <f t="shared" si="2"/>
        <v>25</v>
      </c>
      <c r="M129" s="176" t="s">
        <v>8</v>
      </c>
      <c r="N129" s="176"/>
      <c r="O129" s="176"/>
      <c r="P129" s="33">
        <f>(I181)</f>
        <v>3975552</v>
      </c>
      <c r="Q129" s="33">
        <f>(J164)</f>
        <v>9413416.1625000015</v>
      </c>
      <c r="R129" s="33"/>
      <c r="S129" s="33">
        <f t="shared" si="5"/>
        <v>5437864.1625000015</v>
      </c>
      <c r="T129" s="33"/>
      <c r="U129" s="33">
        <f t="shared" si="6"/>
        <v>5437864.1625000015</v>
      </c>
      <c r="V129" s="6"/>
      <c r="W129" s="6"/>
    </row>
    <row r="130" spans="1:27" x14ac:dyDescent="0.25">
      <c r="A130" s="106"/>
      <c r="B130" s="106" t="s">
        <v>103</v>
      </c>
      <c r="C130" s="28">
        <v>43804</v>
      </c>
      <c r="D130" s="29" t="s">
        <v>215</v>
      </c>
      <c r="E130" s="34">
        <f>NOVIEMBRE!E119</f>
        <v>0</v>
      </c>
      <c r="F130" s="29"/>
      <c r="G130" s="6">
        <f>(J69)</f>
        <v>14611028.25</v>
      </c>
      <c r="H130" s="1"/>
      <c r="I130" s="6">
        <f t="shared" si="3"/>
        <v>14611028.25</v>
      </c>
      <c r="J130" s="1"/>
      <c r="K130" s="9"/>
      <c r="L130" s="153">
        <f t="shared" si="2"/>
        <v>26</v>
      </c>
      <c r="M130" s="176" t="s">
        <v>9</v>
      </c>
      <c r="N130" s="176"/>
      <c r="O130" s="176"/>
      <c r="P130" s="33">
        <f>(I182)</f>
        <v>3373650</v>
      </c>
      <c r="Q130" s="33">
        <f>(J165)</f>
        <v>8472623.8800000008</v>
      </c>
      <c r="R130" s="33"/>
      <c r="S130" s="33">
        <f t="shared" si="5"/>
        <v>5098973.8800000008</v>
      </c>
      <c r="T130" s="33"/>
      <c r="U130" s="33">
        <f t="shared" si="6"/>
        <v>5098973.8800000008</v>
      </c>
      <c r="V130" s="6"/>
      <c r="W130" s="6"/>
      <c r="Y130" t="s">
        <v>341</v>
      </c>
    </row>
    <row r="131" spans="1:27" x14ac:dyDescent="0.25">
      <c r="A131" s="106"/>
      <c r="B131" s="106"/>
      <c r="C131" s="1"/>
      <c r="D131" s="29" t="s">
        <v>11</v>
      </c>
      <c r="E131" s="34">
        <f>NOVIEMBRE!E120</f>
        <v>9788761.5</v>
      </c>
      <c r="F131" s="29"/>
      <c r="G131" s="6">
        <f>(K69)</f>
        <v>6261869.25</v>
      </c>
      <c r="H131" s="1"/>
      <c r="I131" s="6">
        <f t="shared" si="3"/>
        <v>16050630.75</v>
      </c>
      <c r="J131" s="1"/>
      <c r="K131" s="9"/>
      <c r="L131" s="72">
        <f t="shared" si="2"/>
        <v>27</v>
      </c>
      <c r="M131" s="176" t="s">
        <v>16</v>
      </c>
      <c r="N131" s="176"/>
      <c r="O131" s="176"/>
      <c r="P131" s="119"/>
      <c r="Q131" s="33">
        <f>(J107)</f>
        <v>17000000</v>
      </c>
      <c r="R131" s="33"/>
      <c r="S131" s="33">
        <f t="shared" si="5"/>
        <v>17000000</v>
      </c>
      <c r="T131" s="33"/>
      <c r="U131" s="33">
        <f t="shared" si="6"/>
        <v>17000000</v>
      </c>
      <c r="V131" s="6"/>
      <c r="W131" s="6"/>
      <c r="Y131" t="s">
        <v>342</v>
      </c>
      <c r="AA131">
        <v>5319300</v>
      </c>
    </row>
    <row r="132" spans="1:27" x14ac:dyDescent="0.25">
      <c r="A132" s="106"/>
      <c r="B132" s="106"/>
      <c r="C132" s="1"/>
      <c r="D132" s="56" t="s">
        <v>5</v>
      </c>
      <c r="E132" s="29"/>
      <c r="F132" s="29">
        <f>NOVIEMBRE!F121</f>
        <v>13709750</v>
      </c>
      <c r="G132" s="1"/>
      <c r="H132" s="1">
        <f>(F69)</f>
        <v>17540250</v>
      </c>
      <c r="I132" s="1"/>
      <c r="J132" s="1">
        <f t="shared" si="4"/>
        <v>31250000</v>
      </c>
      <c r="K132" s="9"/>
      <c r="L132" s="72">
        <f t="shared" si="2"/>
        <v>28</v>
      </c>
      <c r="M132" s="176" t="s">
        <v>17</v>
      </c>
      <c r="N132" s="176"/>
      <c r="O132" s="177"/>
      <c r="P132" s="119">
        <f>(I207)</f>
        <v>9500</v>
      </c>
      <c r="Q132" s="33">
        <f>(J205)</f>
        <v>34000</v>
      </c>
      <c r="R132" s="33"/>
      <c r="S132" s="33">
        <f t="shared" ref="S132" si="9">(Q132-P132)</f>
        <v>24500</v>
      </c>
      <c r="T132" s="33"/>
      <c r="U132" s="33">
        <f t="shared" ref="U132" si="10">(S132)</f>
        <v>24500</v>
      </c>
      <c r="V132" s="6"/>
      <c r="W132" s="6"/>
      <c r="Y132" t="s">
        <v>226</v>
      </c>
      <c r="AA132">
        <v>301130</v>
      </c>
    </row>
    <row r="133" spans="1:27" x14ac:dyDescent="0.25">
      <c r="A133" s="106"/>
      <c r="B133" s="106"/>
      <c r="C133" s="1"/>
      <c r="D133" s="56" t="s">
        <v>12</v>
      </c>
      <c r="E133" s="29"/>
      <c r="F133" s="34">
        <f>NOVIEMBRE!F122</f>
        <v>2604852.5</v>
      </c>
      <c r="G133" s="1"/>
      <c r="H133" s="6">
        <f>(G69)</f>
        <v>3332647.5</v>
      </c>
      <c r="I133" s="1"/>
      <c r="J133" s="1">
        <f t="shared" si="4"/>
        <v>5937500</v>
      </c>
      <c r="K133" s="9"/>
      <c r="L133" s="117">
        <f t="shared" si="2"/>
        <v>29</v>
      </c>
      <c r="M133" s="173" t="s">
        <v>19</v>
      </c>
      <c r="N133" s="173"/>
      <c r="O133" s="173"/>
      <c r="P133" s="37">
        <f>(I201)</f>
        <v>12241050</v>
      </c>
      <c r="Q133" s="36"/>
      <c r="R133" s="36">
        <f>(P133-Q133)</f>
        <v>12241050</v>
      </c>
      <c r="S133" s="36"/>
      <c r="T133" s="36"/>
      <c r="U133" s="36"/>
      <c r="V133" s="36">
        <f>(R133)</f>
        <v>12241050</v>
      </c>
      <c r="W133" s="6"/>
      <c r="AA133">
        <f>SUM(AA131:AA132)</f>
        <v>5620430</v>
      </c>
    </row>
    <row r="134" spans="1:27" x14ac:dyDescent="0.25">
      <c r="A134" s="108"/>
      <c r="B134" s="108"/>
      <c r="C134" s="44"/>
      <c r="D134" s="53" t="s">
        <v>139</v>
      </c>
      <c r="E134" s="44"/>
      <c r="F134" s="79">
        <f>(E129+E130+E131-F132-F133)</f>
        <v>0</v>
      </c>
      <c r="G134" s="44"/>
      <c r="H134" s="79">
        <f>(G129+G130+G131-H132-H133)</f>
        <v>0</v>
      </c>
      <c r="I134" s="44"/>
      <c r="J134" s="79">
        <f>(I129+I130+I131-J132-J133)</f>
        <v>0</v>
      </c>
      <c r="K134" s="9"/>
      <c r="L134" s="117">
        <f t="shared" si="2"/>
        <v>30</v>
      </c>
      <c r="M134" s="173" t="s">
        <v>102</v>
      </c>
      <c r="N134" s="173"/>
      <c r="O134" s="173"/>
      <c r="P134" s="37">
        <f>(I109)</f>
        <v>63567</v>
      </c>
      <c r="Q134" s="36"/>
      <c r="R134" s="36">
        <f t="shared" ref="R134:R150" si="11">(P134-Q134)</f>
        <v>63567</v>
      </c>
      <c r="S134" s="36"/>
      <c r="T134" s="36"/>
      <c r="U134" s="36"/>
      <c r="V134" s="36">
        <f t="shared" ref="V134:V150" si="12">(R134)</f>
        <v>63567</v>
      </c>
      <c r="W134" s="6"/>
    </row>
    <row r="135" spans="1:27" x14ac:dyDescent="0.25">
      <c r="A135" s="106" t="s">
        <v>229</v>
      </c>
      <c r="B135" s="106"/>
      <c r="C135" s="28">
        <v>43799</v>
      </c>
      <c r="D135" s="1" t="s">
        <v>142</v>
      </c>
      <c r="E135" s="6">
        <f>NOVIEMBRE!E124</f>
        <v>890000</v>
      </c>
      <c r="F135" s="1"/>
      <c r="G135" s="6">
        <f t="shared" ref="G135:G144" si="13">(E315)</f>
        <v>890000</v>
      </c>
      <c r="H135" s="1"/>
      <c r="I135" s="1">
        <f>(E135+G135)</f>
        <v>1780000</v>
      </c>
      <c r="J135" s="1"/>
      <c r="K135" s="9"/>
      <c r="L135" s="117">
        <f t="shared" si="2"/>
        <v>31</v>
      </c>
      <c r="M135" s="173" t="s">
        <v>267</v>
      </c>
      <c r="N135" s="173"/>
      <c r="O135" s="173"/>
      <c r="P135" s="37">
        <f>(I112)</f>
        <v>590000</v>
      </c>
      <c r="Q135" s="36"/>
      <c r="R135" s="36">
        <f t="shared" si="11"/>
        <v>590000</v>
      </c>
      <c r="S135" s="36"/>
      <c r="T135" s="36"/>
      <c r="U135" s="36"/>
      <c r="V135" s="36">
        <f t="shared" si="12"/>
        <v>590000</v>
      </c>
      <c r="W135" s="6"/>
    </row>
    <row r="136" spans="1:27" x14ac:dyDescent="0.25">
      <c r="A136" s="106"/>
      <c r="B136" s="106" t="s">
        <v>237</v>
      </c>
      <c r="C136" s="28">
        <v>43829</v>
      </c>
      <c r="D136" s="1" t="s">
        <v>143</v>
      </c>
      <c r="E136" s="6">
        <f>NOVIEMBRE!E125</f>
        <v>232509.83333333331</v>
      </c>
      <c r="F136" s="1"/>
      <c r="G136" s="6">
        <f t="shared" si="13"/>
        <v>238292</v>
      </c>
      <c r="H136" s="1"/>
      <c r="I136" s="6">
        <f t="shared" ref="I136:I144" si="14">(E136+G136)</f>
        <v>470801.83333333331</v>
      </c>
      <c r="J136" s="1"/>
      <c r="K136" s="9"/>
      <c r="L136" s="117">
        <f t="shared" si="2"/>
        <v>32</v>
      </c>
      <c r="M136" s="173" t="s">
        <v>268</v>
      </c>
      <c r="N136" s="173"/>
      <c r="O136" s="173"/>
      <c r="P136" s="37">
        <f>(I158)</f>
        <v>59325</v>
      </c>
      <c r="Q136" s="36"/>
      <c r="R136" s="36">
        <f t="shared" si="11"/>
        <v>59325</v>
      </c>
      <c r="S136" s="36"/>
      <c r="T136" s="36"/>
      <c r="U136" s="36"/>
      <c r="V136" s="36">
        <f t="shared" si="12"/>
        <v>59325</v>
      </c>
      <c r="W136" s="6"/>
    </row>
    <row r="137" spans="1:27" x14ac:dyDescent="0.25">
      <c r="A137" s="106"/>
      <c r="B137" s="106"/>
      <c r="C137" s="1"/>
      <c r="D137" s="1" t="s">
        <v>145</v>
      </c>
      <c r="E137" s="6">
        <f>NOVIEMBRE!E126</f>
        <v>152209.58900000001</v>
      </c>
      <c r="F137" s="1"/>
      <c r="G137" s="6">
        <f t="shared" si="13"/>
        <v>207586.81300000002</v>
      </c>
      <c r="H137" s="1"/>
      <c r="I137" s="6">
        <f t="shared" si="14"/>
        <v>359796.402</v>
      </c>
      <c r="J137" s="1"/>
      <c r="K137" s="9"/>
      <c r="L137" s="117">
        <f t="shared" si="2"/>
        <v>33</v>
      </c>
      <c r="M137" s="173" t="s">
        <v>263</v>
      </c>
      <c r="N137" s="173"/>
      <c r="O137" s="173"/>
      <c r="P137" s="37">
        <f>(I222)</f>
        <v>0</v>
      </c>
      <c r="Q137" s="36"/>
      <c r="R137" s="36">
        <f t="shared" si="11"/>
        <v>0</v>
      </c>
      <c r="S137" s="36"/>
      <c r="T137" s="36"/>
      <c r="U137" s="36"/>
      <c r="V137" s="36">
        <f t="shared" si="12"/>
        <v>0</v>
      </c>
      <c r="W137" s="6"/>
    </row>
    <row r="138" spans="1:27" x14ac:dyDescent="0.25">
      <c r="A138" s="106"/>
      <c r="B138" s="106"/>
      <c r="C138" s="1"/>
      <c r="D138" s="1" t="s">
        <v>191</v>
      </c>
      <c r="E138" s="6">
        <f>NOVIEMBRE!E127</f>
        <v>754036.25</v>
      </c>
      <c r="F138" s="1"/>
      <c r="G138" s="6">
        <f t="shared" si="13"/>
        <v>964713.75</v>
      </c>
      <c r="H138" s="1"/>
      <c r="I138" s="6">
        <f t="shared" si="14"/>
        <v>1718750</v>
      </c>
      <c r="J138" s="1"/>
      <c r="K138" s="9"/>
      <c r="L138" s="117">
        <f t="shared" si="2"/>
        <v>34</v>
      </c>
      <c r="M138" s="173" t="s">
        <v>18</v>
      </c>
      <c r="N138" s="173"/>
      <c r="O138" s="173"/>
      <c r="P138" s="37">
        <f>(I117)</f>
        <v>610000</v>
      </c>
      <c r="Q138" s="36"/>
      <c r="R138" s="36">
        <f t="shared" si="11"/>
        <v>610000</v>
      </c>
      <c r="S138" s="36"/>
      <c r="T138" s="36"/>
      <c r="U138" s="36"/>
      <c r="V138" s="36">
        <f t="shared" si="12"/>
        <v>610000</v>
      </c>
      <c r="W138" s="6"/>
    </row>
    <row r="139" spans="1:27" x14ac:dyDescent="0.25">
      <c r="A139" s="106"/>
      <c r="B139" s="106"/>
      <c r="C139" s="1"/>
      <c r="D139" s="1" t="s">
        <v>273</v>
      </c>
      <c r="E139" s="6">
        <f>NOVIEMBRE!E128</f>
        <v>0</v>
      </c>
      <c r="F139" s="1"/>
      <c r="G139" s="6">
        <f t="shared" si="13"/>
        <v>400000</v>
      </c>
      <c r="H139" s="1"/>
      <c r="I139" s="6">
        <f t="shared" si="14"/>
        <v>400000</v>
      </c>
      <c r="J139" s="1"/>
      <c r="K139" s="9"/>
      <c r="L139" s="117">
        <f t="shared" si="2"/>
        <v>35</v>
      </c>
      <c r="M139" s="173" t="s">
        <v>142</v>
      </c>
      <c r="N139" s="173"/>
      <c r="O139" s="173"/>
      <c r="P139" s="37">
        <f t="shared" ref="P139:P148" si="15">(I135)</f>
        <v>1780000</v>
      </c>
      <c r="Q139" s="36"/>
      <c r="R139" s="36">
        <f t="shared" si="11"/>
        <v>1780000</v>
      </c>
      <c r="S139" s="36"/>
      <c r="T139" s="36"/>
      <c r="U139" s="36"/>
      <c r="V139" s="36">
        <f t="shared" si="12"/>
        <v>1780000</v>
      </c>
      <c r="W139" s="6"/>
    </row>
    <row r="140" spans="1:27" x14ac:dyDescent="0.25">
      <c r="A140" s="106"/>
      <c r="B140" s="106"/>
      <c r="C140" s="1"/>
      <c r="D140" s="1" t="s">
        <v>149</v>
      </c>
      <c r="E140" s="6">
        <f>NOVIEMBRE!E129</f>
        <v>60000</v>
      </c>
      <c r="F140" s="1"/>
      <c r="G140" s="6">
        <f t="shared" si="13"/>
        <v>60000</v>
      </c>
      <c r="H140" s="1"/>
      <c r="I140" s="6">
        <f t="shared" si="14"/>
        <v>120000</v>
      </c>
      <c r="J140" s="1"/>
      <c r="K140" s="9"/>
      <c r="L140" s="117">
        <f t="shared" si="2"/>
        <v>36</v>
      </c>
      <c r="M140" s="173" t="s">
        <v>269</v>
      </c>
      <c r="N140" s="173"/>
      <c r="O140" s="173"/>
      <c r="P140" s="36">
        <f t="shared" si="15"/>
        <v>470801.83333333331</v>
      </c>
      <c r="Q140" s="36"/>
      <c r="R140" s="36">
        <f t="shared" si="11"/>
        <v>470801.83333333331</v>
      </c>
      <c r="S140" s="36"/>
      <c r="T140" s="36"/>
      <c r="U140" s="36"/>
      <c r="V140" s="36">
        <f t="shared" si="12"/>
        <v>470801.83333333331</v>
      </c>
      <c r="W140" s="6"/>
    </row>
    <row r="141" spans="1:27" x14ac:dyDescent="0.25">
      <c r="A141" s="106"/>
      <c r="B141" s="106"/>
      <c r="C141" s="1"/>
      <c r="D141" s="1" t="s">
        <v>150</v>
      </c>
      <c r="E141" s="6">
        <f>NOVIEMBRE!E130</f>
        <v>60000</v>
      </c>
      <c r="F141" s="1"/>
      <c r="G141" s="6">
        <f t="shared" si="13"/>
        <v>60000</v>
      </c>
      <c r="H141" s="1"/>
      <c r="I141" s="6">
        <f t="shared" si="14"/>
        <v>120000</v>
      </c>
      <c r="J141" s="1"/>
      <c r="K141" s="9"/>
      <c r="L141" s="117">
        <f t="shared" si="2"/>
        <v>37</v>
      </c>
      <c r="M141" s="173" t="s">
        <v>145</v>
      </c>
      <c r="N141" s="173"/>
      <c r="O141" s="173"/>
      <c r="P141" s="36">
        <f t="shared" si="15"/>
        <v>359796.402</v>
      </c>
      <c r="Q141" s="36"/>
      <c r="R141" s="36">
        <f t="shared" si="11"/>
        <v>359796.402</v>
      </c>
      <c r="S141" s="36"/>
      <c r="T141" s="36"/>
      <c r="U141" s="36"/>
      <c r="V141" s="36">
        <f t="shared" si="12"/>
        <v>359796.402</v>
      </c>
      <c r="W141" s="6"/>
    </row>
    <row r="142" spans="1:27" x14ac:dyDescent="0.25">
      <c r="A142" s="106"/>
      <c r="B142" s="106"/>
      <c r="C142" s="1"/>
      <c r="D142" s="1" t="s">
        <v>197</v>
      </c>
      <c r="E142" s="6">
        <f>NOVIEMBRE!E131</f>
        <v>53356.274182366666</v>
      </c>
      <c r="F142" s="1"/>
      <c r="G142" s="6">
        <f t="shared" si="13"/>
        <v>71025.584406900001</v>
      </c>
      <c r="H142" s="1"/>
      <c r="I142" s="6">
        <f t="shared" si="14"/>
        <v>124381.85858926666</v>
      </c>
      <c r="J142" s="1"/>
      <c r="K142" s="9"/>
      <c r="L142" s="117">
        <f t="shared" si="2"/>
        <v>38</v>
      </c>
      <c r="M142" s="173" t="s">
        <v>191</v>
      </c>
      <c r="N142" s="173"/>
      <c r="O142" s="173"/>
      <c r="P142" s="36">
        <f t="shared" si="15"/>
        <v>1718750</v>
      </c>
      <c r="Q142" s="36"/>
      <c r="R142" s="36">
        <f t="shared" si="11"/>
        <v>1718750</v>
      </c>
      <c r="S142" s="36"/>
      <c r="T142" s="36"/>
      <c r="U142" s="36"/>
      <c r="V142" s="36">
        <f t="shared" si="12"/>
        <v>1718750</v>
      </c>
      <c r="W142" s="6"/>
    </row>
    <row r="143" spans="1:27" x14ac:dyDescent="0.25">
      <c r="A143" s="106"/>
      <c r="B143" s="106"/>
      <c r="C143" s="1"/>
      <c r="D143" s="1" t="s">
        <v>198</v>
      </c>
      <c r="E143" s="6">
        <f>NOVIEMBRE!E132</f>
        <v>31039.961786700002</v>
      </c>
      <c r="F143" s="1"/>
      <c r="G143" s="6">
        <f t="shared" si="13"/>
        <v>41319.066213900005</v>
      </c>
      <c r="H143" s="1"/>
      <c r="I143" s="6">
        <f t="shared" si="14"/>
        <v>72359.02800060001</v>
      </c>
      <c r="J143" s="1"/>
      <c r="K143" s="9"/>
      <c r="L143" s="117">
        <f t="shared" si="2"/>
        <v>39</v>
      </c>
      <c r="M143" s="173" t="s">
        <v>270</v>
      </c>
      <c r="N143" s="173"/>
      <c r="O143" s="173"/>
      <c r="P143" s="36">
        <f t="shared" si="15"/>
        <v>400000</v>
      </c>
      <c r="Q143" s="36"/>
      <c r="R143" s="36">
        <f t="shared" si="11"/>
        <v>400000</v>
      </c>
      <c r="S143" s="36"/>
      <c r="T143" s="36"/>
      <c r="U143" s="36"/>
      <c r="V143" s="36">
        <f t="shared" si="12"/>
        <v>400000</v>
      </c>
      <c r="W143" s="6"/>
    </row>
    <row r="144" spans="1:27" x14ac:dyDescent="0.25">
      <c r="A144" s="106"/>
      <c r="B144" s="106"/>
      <c r="C144" s="1"/>
      <c r="D144" s="1" t="s">
        <v>199</v>
      </c>
      <c r="E144" s="6">
        <f>NOVIEMBRE!E133</f>
        <v>52091.048462000006</v>
      </c>
      <c r="F144" s="1"/>
      <c r="G144" s="6">
        <f t="shared" si="13"/>
        <v>69587.95779</v>
      </c>
      <c r="H144" s="1"/>
      <c r="I144" s="6">
        <f t="shared" si="14"/>
        <v>121679.00625200001</v>
      </c>
      <c r="J144" s="1"/>
      <c r="K144" s="9"/>
      <c r="L144" s="117">
        <f t="shared" si="2"/>
        <v>40</v>
      </c>
      <c r="M144" s="173" t="s">
        <v>149</v>
      </c>
      <c r="N144" s="173"/>
      <c r="O144" s="173"/>
      <c r="P144" s="36">
        <f t="shared" si="15"/>
        <v>120000</v>
      </c>
      <c r="Q144" s="36"/>
      <c r="R144" s="36">
        <f t="shared" si="11"/>
        <v>120000</v>
      </c>
      <c r="S144" s="36"/>
      <c r="T144" s="36"/>
      <c r="U144" s="36"/>
      <c r="V144" s="36">
        <f t="shared" si="12"/>
        <v>120000</v>
      </c>
      <c r="W144" s="6"/>
    </row>
    <row r="145" spans="1:31" x14ac:dyDescent="0.25">
      <c r="A145" s="106"/>
      <c r="B145" s="106"/>
      <c r="C145" s="1"/>
      <c r="D145" s="54" t="s">
        <v>65</v>
      </c>
      <c r="E145" s="1"/>
      <c r="F145" s="6">
        <f>NOVIEMBRE!F134</f>
        <v>167391.78092766667</v>
      </c>
      <c r="G145" s="1"/>
      <c r="H145" s="6">
        <f t="shared" ref="H145:H155" si="16">(F325)</f>
        <v>218119.04782500002</v>
      </c>
      <c r="I145" s="1"/>
      <c r="J145" s="6">
        <f>(F145+H145)</f>
        <v>385510.82875266671</v>
      </c>
      <c r="K145" s="9"/>
      <c r="L145" s="117">
        <f t="shared" si="2"/>
        <v>41</v>
      </c>
      <c r="M145" s="173" t="s">
        <v>150</v>
      </c>
      <c r="N145" s="173"/>
      <c r="O145" s="173"/>
      <c r="P145" s="36">
        <f t="shared" si="15"/>
        <v>120000</v>
      </c>
      <c r="Q145" s="36"/>
      <c r="R145" s="36">
        <f t="shared" si="11"/>
        <v>120000</v>
      </c>
      <c r="S145" s="36"/>
      <c r="T145" s="36"/>
      <c r="U145" s="36"/>
      <c r="V145" s="36">
        <f t="shared" si="12"/>
        <v>120000</v>
      </c>
      <c r="W145" s="6"/>
    </row>
    <row r="146" spans="1:31" x14ac:dyDescent="0.25">
      <c r="A146" s="106"/>
      <c r="B146" s="106"/>
      <c r="C146" s="1"/>
      <c r="D146" s="54" t="s">
        <v>193</v>
      </c>
      <c r="E146" s="1"/>
      <c r="F146" s="6">
        <f>NOVIEMBRE!F135</f>
        <v>63880.469856700001</v>
      </c>
      <c r="G146" s="1"/>
      <c r="H146" s="6">
        <f t="shared" si="16"/>
        <v>89666.679755099991</v>
      </c>
      <c r="I146" s="1"/>
      <c r="J146" s="6">
        <f t="shared" ref="J146:J155" si="17">(F146+H146)</f>
        <v>153547.14961179998</v>
      </c>
      <c r="K146" s="9"/>
      <c r="L146" s="117">
        <f t="shared" si="2"/>
        <v>42</v>
      </c>
      <c r="M146" s="173" t="s">
        <v>271</v>
      </c>
      <c r="N146" s="173"/>
      <c r="O146" s="173"/>
      <c r="P146" s="36">
        <f t="shared" si="15"/>
        <v>124381.85858926666</v>
      </c>
      <c r="Q146" s="36"/>
      <c r="R146" s="36">
        <f t="shared" si="11"/>
        <v>124381.85858926666</v>
      </c>
      <c r="S146" s="36"/>
      <c r="T146" s="36"/>
      <c r="U146" s="36"/>
      <c r="V146" s="36">
        <f t="shared" si="12"/>
        <v>124381.85858926666</v>
      </c>
      <c r="W146" s="6"/>
    </row>
    <row r="147" spans="1:31" x14ac:dyDescent="0.25">
      <c r="A147" s="106"/>
      <c r="B147" s="106"/>
      <c r="C147" s="1"/>
      <c r="D147" s="54" t="s">
        <v>194</v>
      </c>
      <c r="E147" s="1"/>
      <c r="F147" s="6">
        <f>NOVIEMBRE!F136</f>
        <v>39677.310470000004</v>
      </c>
      <c r="G147" s="1"/>
      <c r="H147" s="6">
        <f t="shared" si="16"/>
        <v>55693.589910000002</v>
      </c>
      <c r="I147" s="1"/>
      <c r="J147" s="6">
        <f t="shared" si="17"/>
        <v>95370.900380000006</v>
      </c>
      <c r="K147" s="9"/>
      <c r="L147" s="117">
        <f t="shared" si="2"/>
        <v>43</v>
      </c>
      <c r="M147" s="174" t="s">
        <v>198</v>
      </c>
      <c r="N147" s="174"/>
      <c r="O147" s="174"/>
      <c r="P147" s="36">
        <f t="shared" si="15"/>
        <v>72359.02800060001</v>
      </c>
      <c r="Q147" s="36"/>
      <c r="R147" s="36">
        <f t="shared" si="11"/>
        <v>72359.02800060001</v>
      </c>
      <c r="S147" s="36"/>
      <c r="T147" s="36"/>
      <c r="U147" s="36"/>
      <c r="V147" s="36">
        <f t="shared" si="12"/>
        <v>72359.02800060001</v>
      </c>
      <c r="W147" s="6"/>
    </row>
    <row r="148" spans="1:31" x14ac:dyDescent="0.25">
      <c r="A148" s="106"/>
      <c r="B148" s="106"/>
      <c r="C148" s="1"/>
      <c r="D148" s="54" t="s">
        <v>154</v>
      </c>
      <c r="E148" s="1"/>
      <c r="F148" s="6">
        <f>NOVIEMBRE!F137</f>
        <v>102335.58659333334</v>
      </c>
      <c r="G148" s="1"/>
      <c r="H148" s="6">
        <f t="shared" si="16"/>
        <v>133347.88950000002</v>
      </c>
      <c r="I148" s="1"/>
      <c r="J148" s="6">
        <f t="shared" si="17"/>
        <v>235683.47609333336</v>
      </c>
      <c r="K148" s="9"/>
      <c r="L148" s="117">
        <f t="shared" si="2"/>
        <v>44</v>
      </c>
      <c r="M148" s="174" t="s">
        <v>272</v>
      </c>
      <c r="N148" s="174"/>
      <c r="O148" s="174"/>
      <c r="P148" s="36">
        <f t="shared" si="15"/>
        <v>121679.00625200001</v>
      </c>
      <c r="Q148" s="36"/>
      <c r="R148" s="36">
        <f t="shared" si="11"/>
        <v>121679.00625200001</v>
      </c>
      <c r="S148" s="36"/>
      <c r="T148" s="36"/>
      <c r="U148" s="36"/>
      <c r="V148" s="36">
        <f t="shared" si="12"/>
        <v>121679.00625200001</v>
      </c>
      <c r="W148" s="6"/>
    </row>
    <row r="149" spans="1:31" x14ac:dyDescent="0.25">
      <c r="A149" s="106"/>
      <c r="B149" s="106"/>
      <c r="C149" s="1"/>
      <c r="D149" s="54" t="s">
        <v>203</v>
      </c>
      <c r="E149" s="1"/>
      <c r="F149" s="6">
        <f>NOVIEMBRE!F138</f>
        <v>8771.6217080000006</v>
      </c>
      <c r="G149" s="1"/>
      <c r="H149" s="6">
        <f t="shared" si="16"/>
        <v>11429.819100000001</v>
      </c>
      <c r="I149" s="1"/>
      <c r="J149" s="6">
        <f t="shared" si="17"/>
        <v>20201.440807999999</v>
      </c>
      <c r="K149" s="9"/>
      <c r="L149" s="117">
        <f t="shared" si="2"/>
        <v>45</v>
      </c>
      <c r="M149" s="174" t="s">
        <v>20</v>
      </c>
      <c r="N149" s="174"/>
      <c r="O149" s="174"/>
      <c r="P149" s="36">
        <f>(I218)</f>
        <v>134332.57142857142</v>
      </c>
      <c r="Q149" s="36"/>
      <c r="R149" s="36">
        <f t="shared" si="11"/>
        <v>134332.57142857142</v>
      </c>
      <c r="S149" s="36"/>
      <c r="T149" s="36"/>
      <c r="U149" s="36"/>
      <c r="V149" s="36">
        <f t="shared" si="12"/>
        <v>134332.57142857142</v>
      </c>
      <c r="W149" s="6"/>
    </row>
    <row r="150" spans="1:31" x14ac:dyDescent="0.25">
      <c r="A150" s="106"/>
      <c r="B150" s="106"/>
      <c r="C150" s="1"/>
      <c r="D150" s="54" t="s">
        <v>211</v>
      </c>
      <c r="E150" s="1"/>
      <c r="F150" s="6">
        <f>NOVIEMBRE!F139</f>
        <v>53356.274182366666</v>
      </c>
      <c r="G150" s="1"/>
      <c r="H150" s="6">
        <f t="shared" si="16"/>
        <v>71025.584406900001</v>
      </c>
      <c r="I150" s="1"/>
      <c r="J150" s="6">
        <f t="shared" si="17"/>
        <v>124381.85858926666</v>
      </c>
      <c r="K150" s="9"/>
      <c r="L150" s="117">
        <f t="shared" si="2"/>
        <v>46</v>
      </c>
      <c r="M150" s="174" t="s">
        <v>21</v>
      </c>
      <c r="N150" s="174"/>
      <c r="O150" s="174"/>
      <c r="P150" s="36">
        <f>(I204)</f>
        <v>34000</v>
      </c>
      <c r="Q150" s="36">
        <f>(J208+J212)</f>
        <v>25700</v>
      </c>
      <c r="R150" s="36">
        <f t="shared" si="11"/>
        <v>8300</v>
      </c>
      <c r="S150" s="36"/>
      <c r="T150" s="36"/>
      <c r="U150" s="36"/>
      <c r="V150" s="36">
        <f t="shared" si="12"/>
        <v>8300</v>
      </c>
      <c r="W150" s="6"/>
    </row>
    <row r="151" spans="1:31" x14ac:dyDescent="0.25">
      <c r="A151" s="106"/>
      <c r="B151" s="106"/>
      <c r="C151" s="1"/>
      <c r="D151" s="54" t="s">
        <v>196</v>
      </c>
      <c r="E151" s="1"/>
      <c r="F151" s="6">
        <f>NOVIEMBRE!F140</f>
        <v>20753.858484173332</v>
      </c>
      <c r="G151" s="1"/>
      <c r="H151" s="6">
        <f t="shared" si="16"/>
        <v>37021.847486000013</v>
      </c>
      <c r="I151" s="1"/>
      <c r="J151" s="6">
        <f t="shared" si="17"/>
        <v>57775.705970173345</v>
      </c>
      <c r="K151" s="9"/>
      <c r="L151" s="118">
        <f t="shared" si="2"/>
        <v>47</v>
      </c>
      <c r="M151" s="175" t="s">
        <v>5</v>
      </c>
      <c r="N151" s="175"/>
      <c r="O151" s="175"/>
      <c r="P151" s="47"/>
      <c r="Q151" s="47">
        <f>(J132)</f>
        <v>31250000</v>
      </c>
      <c r="R151" s="47"/>
      <c r="S151" s="47">
        <f>(Q151-P151)</f>
        <v>31250000</v>
      </c>
      <c r="T151" s="47"/>
      <c r="U151" s="47"/>
      <c r="V151" s="47"/>
      <c r="W151" s="47">
        <f>(S151)</f>
        <v>31250000</v>
      </c>
    </row>
    <row r="152" spans="1:31" x14ac:dyDescent="0.25">
      <c r="A152" s="106"/>
      <c r="B152" s="106"/>
      <c r="C152" s="1"/>
      <c r="D152" s="54" t="s">
        <v>201</v>
      </c>
      <c r="E152" s="1"/>
      <c r="F152" s="6">
        <f>NOVIEMBRE!F141</f>
        <v>31039.961786700002</v>
      </c>
      <c r="G152" s="1"/>
      <c r="H152" s="6">
        <f t="shared" si="16"/>
        <v>41319.066213900005</v>
      </c>
      <c r="I152" s="1"/>
      <c r="J152" s="6">
        <f t="shared" si="17"/>
        <v>72359.02800060001</v>
      </c>
      <c r="K152" s="9"/>
      <c r="L152" s="9"/>
      <c r="M152" s="175" t="s">
        <v>422</v>
      </c>
      <c r="N152" s="175"/>
      <c r="O152" s="175"/>
      <c r="P152" s="47"/>
      <c r="Q152" s="47">
        <f>(J226)</f>
        <v>539</v>
      </c>
      <c r="R152" s="47"/>
      <c r="S152" s="47">
        <f>(Q152-P152)</f>
        <v>539</v>
      </c>
      <c r="T152" s="47"/>
      <c r="U152" s="47"/>
      <c r="V152" s="47"/>
      <c r="W152" s="47">
        <f>(S152)</f>
        <v>539</v>
      </c>
    </row>
    <row r="153" spans="1:31" x14ac:dyDescent="0.25">
      <c r="A153" s="106"/>
      <c r="B153" s="106"/>
      <c r="C153" s="1"/>
      <c r="D153" s="54" t="s">
        <v>202</v>
      </c>
      <c r="E153" s="1"/>
      <c r="F153" s="6">
        <f>NOVIEMBRE!F142</f>
        <v>52091.048462000006</v>
      </c>
      <c r="G153" s="1"/>
      <c r="H153" s="6">
        <f t="shared" si="16"/>
        <v>69587.95779</v>
      </c>
      <c r="I153" s="1"/>
      <c r="J153" s="6">
        <f t="shared" si="17"/>
        <v>121679.00625200001</v>
      </c>
      <c r="K153" s="9"/>
      <c r="L153" s="9"/>
      <c r="M153" s="170" t="s">
        <v>34</v>
      </c>
      <c r="N153" s="170"/>
      <c r="O153" s="170"/>
      <c r="P153" s="6">
        <f>SUM(P105:P152)</f>
        <v>145987838.71207473</v>
      </c>
      <c r="Q153" s="6">
        <f>SUM(Q105:Q152)</f>
        <v>145987838.7120747</v>
      </c>
      <c r="R153" s="6">
        <f t="shared" ref="R153:W153" si="18">SUM(R105:R152)</f>
        <v>61068446.024486914</v>
      </c>
      <c r="S153" s="6">
        <f t="shared" si="18"/>
        <v>61068446.024486899</v>
      </c>
      <c r="T153" s="6">
        <f t="shared" si="18"/>
        <v>42074103.324883133</v>
      </c>
      <c r="U153" s="6">
        <f t="shared" si="18"/>
        <v>29817907.024486903</v>
      </c>
      <c r="V153" s="6">
        <f t="shared" si="18"/>
        <v>18994342.69960377</v>
      </c>
      <c r="W153" s="6">
        <f t="shared" si="18"/>
        <v>31250539</v>
      </c>
    </row>
    <row r="154" spans="1:31" x14ac:dyDescent="0.25">
      <c r="A154" s="106"/>
      <c r="B154" s="106"/>
      <c r="C154" s="1"/>
      <c r="D154" s="54" t="s">
        <v>232</v>
      </c>
      <c r="E154" s="1"/>
      <c r="F154" s="6">
        <f>NOVIEMBRE!F143</f>
        <v>550000</v>
      </c>
      <c r="G154" s="1"/>
      <c r="H154" s="6">
        <f t="shared" si="16"/>
        <v>1250000</v>
      </c>
      <c r="I154" s="1"/>
      <c r="J154" s="6">
        <f t="shared" si="17"/>
        <v>1800000</v>
      </c>
      <c r="K154" s="9"/>
      <c r="L154" s="9"/>
      <c r="M154" s="176" t="s">
        <v>274</v>
      </c>
      <c r="N154" s="176"/>
      <c r="O154" s="176"/>
      <c r="P154" s="33"/>
      <c r="Q154" s="33"/>
      <c r="R154" s="33"/>
      <c r="S154" s="33"/>
      <c r="T154" s="33"/>
      <c r="U154" s="33">
        <f>(T153-U153)</f>
        <v>12256196.30039623</v>
      </c>
      <c r="V154" s="33">
        <f>(W153-V153)</f>
        <v>12256196.30039623</v>
      </c>
      <c r="W154" s="33"/>
      <c r="Y154" t="s">
        <v>429</v>
      </c>
    </row>
    <row r="155" spans="1:31" x14ac:dyDescent="0.25">
      <c r="A155" s="106"/>
      <c r="B155" s="106"/>
      <c r="C155" s="1"/>
      <c r="D155" s="54" t="s">
        <v>2</v>
      </c>
      <c r="E155" s="1"/>
      <c r="F155" s="6">
        <f>NOVIEMBRE!F144</f>
        <v>1195945.04429346</v>
      </c>
      <c r="G155" s="1"/>
      <c r="H155" s="6">
        <f t="shared" si="16"/>
        <v>1025313.6894239</v>
      </c>
      <c r="I155" s="1"/>
      <c r="J155" s="6">
        <f t="shared" si="17"/>
        <v>2221258.7337173601</v>
      </c>
      <c r="K155" s="9"/>
      <c r="L155" s="9"/>
      <c r="M155" s="170" t="s">
        <v>35</v>
      </c>
      <c r="N155" s="170"/>
      <c r="O155" s="170"/>
      <c r="P155" s="6">
        <f>(P153+P154)</f>
        <v>145987838.71207473</v>
      </c>
      <c r="Q155" s="6">
        <f t="shared" ref="Q155:W155" si="19">(Q153+Q154)</f>
        <v>145987838.7120747</v>
      </c>
      <c r="R155" s="6">
        <f t="shared" si="19"/>
        <v>61068446.024486914</v>
      </c>
      <c r="S155" s="6">
        <f t="shared" si="19"/>
        <v>61068446.024486899</v>
      </c>
      <c r="T155" s="6">
        <f t="shared" si="19"/>
        <v>42074103.324883133</v>
      </c>
      <c r="U155" s="6">
        <f t="shared" si="19"/>
        <v>42074103.324883133</v>
      </c>
      <c r="V155" s="6">
        <f t="shared" si="19"/>
        <v>31250539</v>
      </c>
      <c r="W155" s="6">
        <f t="shared" si="19"/>
        <v>31250539</v>
      </c>
    </row>
    <row r="156" spans="1:31" x14ac:dyDescent="0.25">
      <c r="A156" s="108"/>
      <c r="B156" s="108"/>
      <c r="C156" s="44"/>
      <c r="D156" s="53" t="s">
        <v>212</v>
      </c>
      <c r="E156" s="78">
        <f>SUM(E135:E155)</f>
        <v>2285242.9567644</v>
      </c>
      <c r="F156" s="78">
        <f>SUM(F135:F155)</f>
        <v>2285242.9567644</v>
      </c>
      <c r="G156" s="78">
        <f>SUM(G135:G155)</f>
        <v>3002525.1714108004</v>
      </c>
      <c r="H156" s="78">
        <f>SUM(H135:H155)</f>
        <v>3002525.1714108</v>
      </c>
      <c r="I156" s="44"/>
      <c r="J156" s="79">
        <f>(I135+I136+I137+I138+I139+I140+I141+I142+I143+I144-J145-J146-J147-J148-J149-J150-J151-J152-J153-J154-J155)</f>
        <v>-9.3132257461547852E-10</v>
      </c>
      <c r="K156" s="9"/>
      <c r="L156" s="9"/>
      <c r="P156" s="4"/>
      <c r="Q156" s="4"/>
      <c r="R156" s="4"/>
      <c r="S156" s="4"/>
      <c r="T156" s="4"/>
      <c r="U156" s="4"/>
      <c r="V156" s="4"/>
      <c r="W156" s="4"/>
      <c r="Y156" t="s">
        <v>430</v>
      </c>
      <c r="AA156" t="s">
        <v>431</v>
      </c>
    </row>
    <row r="157" spans="1:31" x14ac:dyDescent="0.25">
      <c r="A157" s="106" t="s">
        <v>234</v>
      </c>
      <c r="B157" s="106"/>
      <c r="C157" s="28">
        <v>43771</v>
      </c>
      <c r="D157" s="29" t="s">
        <v>7</v>
      </c>
      <c r="E157" s="34">
        <f>NOVIEMBRE!E146</f>
        <v>0</v>
      </c>
      <c r="F157" s="29"/>
      <c r="G157" s="29">
        <f>(F34)</f>
        <v>391420</v>
      </c>
      <c r="H157" s="29"/>
      <c r="I157" s="1">
        <f t="shared" si="3"/>
        <v>391420</v>
      </c>
      <c r="J157" s="1"/>
      <c r="K157" s="9"/>
      <c r="L157" s="9"/>
      <c r="P157" s="4"/>
      <c r="Q157" s="4">
        <f>(P153-Q153)</f>
        <v>2.9802322387695313E-8</v>
      </c>
      <c r="R157" s="4"/>
      <c r="S157" s="4">
        <f>(R153-S153)</f>
        <v>1.4901161193847656E-8</v>
      </c>
      <c r="T157" s="4"/>
      <c r="U157" s="4"/>
      <c r="V157" s="4">
        <f>(U154-V154)</f>
        <v>0</v>
      </c>
      <c r="W157" s="4"/>
      <c r="Y157" t="s">
        <v>432</v>
      </c>
      <c r="AE157" s="4">
        <f>(V154*25%)</f>
        <v>3064049.0750990575</v>
      </c>
    </row>
    <row r="158" spans="1:31" x14ac:dyDescent="0.25">
      <c r="A158" s="106" t="s">
        <v>110</v>
      </c>
      <c r="B158" s="106"/>
      <c r="C158" s="28">
        <v>43799</v>
      </c>
      <c r="D158" s="29" t="s">
        <v>46</v>
      </c>
      <c r="E158" s="34">
        <f>NOVIEMBRE!E147</f>
        <v>0</v>
      </c>
      <c r="F158" s="29"/>
      <c r="G158" s="29">
        <f>(F33)</f>
        <v>59325</v>
      </c>
      <c r="H158" s="29"/>
      <c r="I158" s="1">
        <f t="shared" si="3"/>
        <v>59325</v>
      </c>
      <c r="J158" s="1"/>
      <c r="K158" s="9"/>
      <c r="L158" s="9"/>
      <c r="Y158" t="s">
        <v>437</v>
      </c>
    </row>
    <row r="159" spans="1:31" x14ac:dyDescent="0.25">
      <c r="A159" s="106"/>
      <c r="B159" s="106" t="s">
        <v>233</v>
      </c>
      <c r="C159" s="28">
        <v>43803</v>
      </c>
      <c r="D159" s="29" t="s">
        <v>6</v>
      </c>
      <c r="E159" s="34">
        <f>NOVIEMBRE!E148</f>
        <v>8352000</v>
      </c>
      <c r="F159" s="29"/>
      <c r="G159" s="29">
        <f>(F32)</f>
        <v>8308425</v>
      </c>
      <c r="H159" s="29"/>
      <c r="I159" s="1">
        <f t="shared" si="3"/>
        <v>16660425</v>
      </c>
      <c r="J159" s="1"/>
      <c r="K159" s="9"/>
      <c r="L159" s="9"/>
      <c r="N159" s="197" t="s">
        <v>362</v>
      </c>
      <c r="O159" s="197"/>
      <c r="P159" s="197"/>
      <c r="Q159" s="197"/>
      <c r="R159" s="197"/>
      <c r="S159" s="197"/>
      <c r="T159" s="197"/>
      <c r="Y159" t="s">
        <v>433</v>
      </c>
    </row>
    <row r="160" spans="1:31" x14ac:dyDescent="0.25">
      <c r="A160" s="106"/>
      <c r="B160" s="106" t="s">
        <v>231</v>
      </c>
      <c r="C160" s="28">
        <v>43815</v>
      </c>
      <c r="D160" s="75" t="s">
        <v>13</v>
      </c>
      <c r="E160" s="34">
        <f>NOVIEMBRE!E149</f>
        <v>8100000</v>
      </c>
      <c r="F160" s="29"/>
      <c r="G160" s="29">
        <v>0</v>
      </c>
      <c r="H160" s="29"/>
      <c r="I160" s="1">
        <f t="shared" si="3"/>
        <v>8100000</v>
      </c>
      <c r="J160" s="1"/>
      <c r="K160" s="9"/>
      <c r="L160" s="9"/>
      <c r="N160" s="191" t="s">
        <v>10</v>
      </c>
      <c r="O160" s="191"/>
      <c r="S160" s="196" t="s">
        <v>12</v>
      </c>
      <c r="T160" s="196"/>
    </row>
    <row r="161" spans="1:34" x14ac:dyDescent="0.25">
      <c r="A161" s="106"/>
      <c r="B161" s="106" t="s">
        <v>235</v>
      </c>
      <c r="C161" s="28">
        <v>43817</v>
      </c>
      <c r="D161" s="75" t="s">
        <v>10</v>
      </c>
      <c r="E161" s="34">
        <f>NOVIEMBRE!E150</f>
        <v>3125880</v>
      </c>
      <c r="F161" s="29"/>
      <c r="G161" s="34">
        <f>(G35)</f>
        <v>1664242.3</v>
      </c>
      <c r="H161" s="29"/>
      <c r="I161" s="6">
        <f t="shared" si="3"/>
        <v>4790122.3</v>
      </c>
      <c r="J161" s="6"/>
      <c r="K161" s="9"/>
      <c r="L161" s="9"/>
      <c r="M161" s="1"/>
      <c r="N161" s="129" t="s">
        <v>344</v>
      </c>
      <c r="O161" s="129" t="s">
        <v>96</v>
      </c>
      <c r="P161" s="1"/>
      <c r="R161" s="1"/>
      <c r="S161" s="129" t="s">
        <v>344</v>
      </c>
      <c r="T161" s="129" t="s">
        <v>96</v>
      </c>
      <c r="U161" s="1"/>
      <c r="Y161" t="s">
        <v>434</v>
      </c>
      <c r="AE161">
        <f>(V154*27%)</f>
        <v>3309173.0011069821</v>
      </c>
      <c r="AF161" s="4">
        <f>(AE161*65%)</f>
        <v>2150962.4507195386</v>
      </c>
    </row>
    <row r="162" spans="1:34" x14ac:dyDescent="0.25">
      <c r="A162" s="106"/>
      <c r="B162" s="106"/>
      <c r="C162" s="1"/>
      <c r="D162" s="56" t="s">
        <v>2</v>
      </c>
      <c r="E162" s="34"/>
      <c r="F162" s="34">
        <f>NOVIEMBRE!F151</f>
        <v>7409178</v>
      </c>
      <c r="G162" s="29"/>
      <c r="H162" s="34">
        <f>(J33)</f>
        <v>70596.75</v>
      </c>
      <c r="I162" s="6"/>
      <c r="J162" s="6">
        <f t="shared" si="4"/>
        <v>7479774.75</v>
      </c>
      <c r="K162" s="9"/>
      <c r="L162" s="9" t="s">
        <v>351</v>
      </c>
      <c r="M162" s="1" t="s">
        <v>348</v>
      </c>
      <c r="N162" s="6">
        <f>(E161)</f>
        <v>3125880</v>
      </c>
      <c r="O162" s="1">
        <f>(H223)</f>
        <v>0</v>
      </c>
      <c r="P162" s="1" t="s">
        <v>353</v>
      </c>
      <c r="Q162" t="s">
        <v>354</v>
      </c>
      <c r="R162" s="1" t="s">
        <v>364</v>
      </c>
      <c r="S162" s="1">
        <v>4790661</v>
      </c>
      <c r="T162" s="6">
        <f>(F133)</f>
        <v>2604852.5</v>
      </c>
      <c r="U162" s="1" t="s">
        <v>346</v>
      </c>
      <c r="V162" t="s">
        <v>355</v>
      </c>
      <c r="Y162" t="s">
        <v>436</v>
      </c>
    </row>
    <row r="163" spans="1:34" x14ac:dyDescent="0.25">
      <c r="A163" s="106"/>
      <c r="B163" s="106"/>
      <c r="C163" s="1"/>
      <c r="D163" s="56" t="s">
        <v>215</v>
      </c>
      <c r="E163" s="34"/>
      <c r="F163" s="34">
        <f>NOVIEMBRE!F152</f>
        <v>0</v>
      </c>
      <c r="G163" s="29"/>
      <c r="H163" s="34">
        <f>(J32+J34)</f>
        <v>4635477.5075000003</v>
      </c>
      <c r="I163" s="6"/>
      <c r="J163" s="6">
        <f t="shared" si="4"/>
        <v>4635477.5075000003</v>
      </c>
      <c r="K163" s="9"/>
      <c r="L163" s="9" t="s">
        <v>352</v>
      </c>
      <c r="M163" s="1" t="s">
        <v>349</v>
      </c>
      <c r="N163" s="6">
        <f>(G161)</f>
        <v>1664242.3</v>
      </c>
      <c r="O163" s="6">
        <v>4790661</v>
      </c>
      <c r="P163" s="1" t="s">
        <v>363</v>
      </c>
      <c r="R163" s="1"/>
      <c r="S163" s="1"/>
      <c r="T163" s="6">
        <f>(H133)</f>
        <v>3332647.5</v>
      </c>
      <c r="U163" s="1" t="s">
        <v>347</v>
      </c>
      <c r="V163" t="s">
        <v>356</v>
      </c>
      <c r="AA163" t="s">
        <v>435</v>
      </c>
    </row>
    <row r="164" spans="1:34" x14ac:dyDescent="0.25">
      <c r="A164" s="106"/>
      <c r="B164" s="106"/>
      <c r="C164" s="1"/>
      <c r="D164" s="56" t="s">
        <v>217</v>
      </c>
      <c r="E164" s="34"/>
      <c r="F164" s="34">
        <f>NOVIEMBRE!F153</f>
        <v>3975552</v>
      </c>
      <c r="G164" s="29"/>
      <c r="H164" s="34">
        <f>(K32)</f>
        <v>5437864.1625000006</v>
      </c>
      <c r="I164" s="6"/>
      <c r="J164" s="6">
        <f t="shared" si="4"/>
        <v>9413416.1625000015</v>
      </c>
      <c r="K164" s="9"/>
      <c r="L164" s="9"/>
      <c r="M164" s="1" t="s">
        <v>427</v>
      </c>
      <c r="N164" s="6">
        <v>539</v>
      </c>
      <c r="O164" s="6"/>
      <c r="P164" s="1"/>
      <c r="R164" s="1"/>
      <c r="S164" s="1">
        <f>SUM(S162:S163)</f>
        <v>4790661</v>
      </c>
      <c r="T164" s="1">
        <f>SUM(T162:T163)</f>
        <v>5937500</v>
      </c>
      <c r="U164" s="1"/>
    </row>
    <row r="165" spans="1:34" x14ac:dyDescent="0.25">
      <c r="A165" s="106"/>
      <c r="B165" s="106"/>
      <c r="C165" s="1"/>
      <c r="D165" s="56" t="s">
        <v>9</v>
      </c>
      <c r="E165" s="29"/>
      <c r="F165" s="34">
        <f>NOVIEMBRE!F154</f>
        <v>8193150</v>
      </c>
      <c r="G165" s="29"/>
      <c r="H165" s="34">
        <f>(K34)</f>
        <v>279473.88</v>
      </c>
      <c r="I165" s="1"/>
      <c r="J165" s="6">
        <f t="shared" si="4"/>
        <v>8472623.8800000008</v>
      </c>
      <c r="K165" s="9"/>
      <c r="L165" s="9"/>
      <c r="M165" s="1"/>
      <c r="N165" s="6">
        <f>SUM(N162:N164)</f>
        <v>4790661.3</v>
      </c>
      <c r="O165" s="6">
        <f>SUM(O162:O164)</f>
        <v>4790661</v>
      </c>
      <c r="P165" s="1"/>
      <c r="R165" s="1"/>
      <c r="S165" s="1"/>
      <c r="T165" s="1"/>
      <c r="U165" s="1"/>
    </row>
    <row r="166" spans="1:34" x14ac:dyDescent="0.25">
      <c r="A166" s="108"/>
      <c r="B166" s="108"/>
      <c r="C166" s="44"/>
      <c r="D166" s="53" t="s">
        <v>111</v>
      </c>
      <c r="E166" s="44"/>
      <c r="F166" s="79">
        <f>(E157+E158+E159+E160+E161-F162-F163-F164-F165)</f>
        <v>0</v>
      </c>
      <c r="G166" s="44"/>
      <c r="H166" s="79">
        <f>(G157+G158+G159+G160+G161-H162-H163-H164-H165)</f>
        <v>-1.1641532182693481E-10</v>
      </c>
      <c r="I166" s="44"/>
      <c r="J166" s="79">
        <f>(I157+I158+I159+I160+I161-J162-J163-J164-J165)</f>
        <v>-1.862645149230957E-9</v>
      </c>
      <c r="K166" s="9"/>
      <c r="L166" s="9"/>
      <c r="M166" s="1" t="s">
        <v>345</v>
      </c>
      <c r="N166" s="6">
        <f>(N165-O165)</f>
        <v>0.29999999981373549</v>
      </c>
      <c r="O166" s="1"/>
      <c r="P166" s="1"/>
      <c r="R166" s="1"/>
      <c r="S166" s="1" t="s">
        <v>350</v>
      </c>
      <c r="T166" s="1"/>
      <c r="U166" s="1">
        <f>(T164-S164)</f>
        <v>1146839</v>
      </c>
      <c r="Y166" t="s">
        <v>438</v>
      </c>
      <c r="AE166" s="4"/>
    </row>
    <row r="167" spans="1:34" x14ac:dyDescent="0.25">
      <c r="A167" s="106" t="s">
        <v>231</v>
      </c>
      <c r="B167" s="109"/>
      <c r="C167" s="31">
        <v>43799</v>
      </c>
      <c r="D167" s="75" t="s">
        <v>215</v>
      </c>
      <c r="E167" s="75">
        <f>NOVIEMBRE!E156</f>
        <v>5000000</v>
      </c>
      <c r="F167" s="76"/>
      <c r="G167" s="75"/>
      <c r="H167" s="76"/>
      <c r="I167" s="1">
        <f>(E167+G167)</f>
        <v>5000000</v>
      </c>
      <c r="J167" s="1"/>
      <c r="K167" s="9"/>
      <c r="L167" s="9"/>
      <c r="Y167" t="s">
        <v>437</v>
      </c>
    </row>
    <row r="168" spans="1:34" x14ac:dyDescent="0.25">
      <c r="A168" s="106"/>
      <c r="B168" s="109"/>
      <c r="C168" s="29"/>
      <c r="D168" s="56" t="s">
        <v>2</v>
      </c>
      <c r="E168" s="56"/>
      <c r="F168" s="77">
        <f>NOVIEMBRE!F157</f>
        <v>5000000</v>
      </c>
      <c r="G168" s="56"/>
      <c r="H168" s="77"/>
      <c r="I168" s="1"/>
      <c r="J168" s="6">
        <f>(F168+H168)</f>
        <v>5000000</v>
      </c>
      <c r="K168" s="9"/>
      <c r="L168" s="9"/>
      <c r="O168" s="1" t="s">
        <v>12</v>
      </c>
      <c r="P168" s="1"/>
      <c r="Q168" s="6">
        <v>4790661</v>
      </c>
      <c r="R168" s="1"/>
      <c r="S168" t="s">
        <v>357</v>
      </c>
      <c r="Y168" t="s">
        <v>433</v>
      </c>
    </row>
    <row r="169" spans="1:34" x14ac:dyDescent="0.25">
      <c r="A169" s="108"/>
      <c r="B169" s="108"/>
      <c r="C169" s="44"/>
      <c r="D169" s="53" t="s">
        <v>216</v>
      </c>
      <c r="E169" s="44"/>
      <c r="F169" s="79"/>
      <c r="G169" s="44"/>
      <c r="H169" s="79"/>
      <c r="I169" s="44"/>
      <c r="J169" s="79"/>
      <c r="K169" s="9"/>
      <c r="L169" s="9"/>
      <c r="O169" s="1"/>
      <c r="P169" s="1" t="s">
        <v>10</v>
      </c>
      <c r="Q169" s="1"/>
      <c r="R169" s="6">
        <f>(Q168)</f>
        <v>4790661</v>
      </c>
      <c r="S169" t="s">
        <v>358</v>
      </c>
    </row>
    <row r="170" spans="1:34" x14ac:dyDescent="0.25">
      <c r="A170" s="106"/>
      <c r="B170" s="110"/>
      <c r="C170" s="71"/>
      <c r="D170" s="71" t="s">
        <v>222</v>
      </c>
      <c r="E170" s="70">
        <f>(E106+E109+E112+E113+E117+E122+E126+E129+E130+E131+E135+E136+E137+E138+E139+E140+E141+E142+E143+E144+E157+E158+E159+E160+E161+E167)</f>
        <v>66382725.456764407</v>
      </c>
      <c r="F170" s="70">
        <f>(F107+F110+F114+F115+F118+F119+F120+F124+F127+F132+F133+F145+F146+F147+F148+F149+F150+F151+F152+F153+F154+F155+F162+F163+F164+F165+F168)</f>
        <v>66382725.4567644</v>
      </c>
      <c r="G170" s="70">
        <f>(G106+G109+G112+G113+G117+G122+G126+G129+G130+G131+G135+G136+G137+G138+G139+G140+G141+G142+G143+G144+G157+G158+G159+G160+G161+G167)</f>
        <v>43302401.971410796</v>
      </c>
      <c r="H170" s="70">
        <f>(H107+H110+H114+H115+H118+H119+H120+H124+H127+H132+H133+H145+H146+H147+H148+H149+H150+H151+H152+H153+H154+H155+H162+H163+H164+H165+H168)</f>
        <v>43302401.971410803</v>
      </c>
      <c r="I170" s="70">
        <f>(I106+I109+I112+I113+I117+I122+I126+I129+I130+I131+I135+I136+I137+I138+I139+I140+I141+I142+I143+I144+I157+I158+I159+I160+I161+I167)</f>
        <v>109685127.42817518</v>
      </c>
      <c r="J170" s="70">
        <f>(J107+J110+J114+J115+J118+J119+J120+J124+J127+J132+J133+J145+J146+J147+J148+J149+J150+J151+J152+J153+J154+J155+J162+J163+J164+J165+J168)</f>
        <v>109685127.42817518</v>
      </c>
      <c r="K170" s="9"/>
      <c r="L170" s="9"/>
      <c r="Y170" t="s">
        <v>439</v>
      </c>
    </row>
    <row r="171" spans="1:34" x14ac:dyDescent="0.25">
      <c r="A171" s="106"/>
      <c r="B171" s="106" t="s">
        <v>227</v>
      </c>
      <c r="C171" s="28">
        <v>43811</v>
      </c>
      <c r="D171" s="66" t="s">
        <v>65</v>
      </c>
      <c r="E171" s="6"/>
      <c r="F171" s="6"/>
      <c r="G171" s="6">
        <f t="shared" ref="G171:G176" si="20">(F145)</f>
        <v>167391.78092766667</v>
      </c>
      <c r="H171" s="6"/>
      <c r="I171" s="6">
        <f>(E171+G171)</f>
        <v>167391.78092766667</v>
      </c>
      <c r="J171" s="6"/>
      <c r="K171" s="9"/>
      <c r="L171" s="9"/>
      <c r="V171" s="166" t="s">
        <v>450</v>
      </c>
      <c r="W171" s="166" t="s">
        <v>451</v>
      </c>
    </row>
    <row r="172" spans="1:34" x14ac:dyDescent="0.25">
      <c r="A172" s="106"/>
      <c r="B172" s="106"/>
      <c r="C172" s="1"/>
      <c r="D172" s="66" t="s">
        <v>193</v>
      </c>
      <c r="E172" s="6"/>
      <c r="F172" s="6"/>
      <c r="G172" s="6">
        <f t="shared" si="20"/>
        <v>63880.469856700001</v>
      </c>
      <c r="H172" s="6"/>
      <c r="I172" s="6">
        <f t="shared" ref="I172:I178" si="21">(E172+G172)</f>
        <v>63880.469856700001</v>
      </c>
      <c r="J172" s="6"/>
      <c r="K172" s="9"/>
      <c r="L172" s="9"/>
      <c r="O172" s="197" t="s">
        <v>445</v>
      </c>
      <c r="P172" s="197"/>
      <c r="Q172" s="197"/>
      <c r="R172" s="197"/>
      <c r="U172" t="s">
        <v>449</v>
      </c>
      <c r="V172">
        <v>49623</v>
      </c>
      <c r="W172">
        <f>(V172*12)</f>
        <v>595476</v>
      </c>
    </row>
    <row r="173" spans="1:34" x14ac:dyDescent="0.25">
      <c r="A173" s="106"/>
      <c r="B173" s="106"/>
      <c r="C173" s="1"/>
      <c r="D173" s="66" t="s">
        <v>194</v>
      </c>
      <c r="E173" s="6"/>
      <c r="F173" s="6"/>
      <c r="G173" s="6">
        <f t="shared" si="20"/>
        <v>39677.310470000004</v>
      </c>
      <c r="H173" s="6"/>
      <c r="I173" s="6">
        <f t="shared" si="21"/>
        <v>39677.310470000004</v>
      </c>
      <c r="J173" s="6"/>
      <c r="K173" s="9"/>
      <c r="L173" s="9"/>
      <c r="O173" s="197" t="s">
        <v>446</v>
      </c>
      <c r="P173" s="197"/>
      <c r="Q173" s="197"/>
      <c r="R173" s="197"/>
      <c r="AA173" t="s">
        <v>440</v>
      </c>
      <c r="AB173" t="s">
        <v>441</v>
      </c>
      <c r="AD173" t="s">
        <v>442</v>
      </c>
      <c r="AE173" s="2">
        <v>0.1</v>
      </c>
      <c r="AF173" s="167">
        <v>15000000</v>
      </c>
      <c r="AG173" s="2">
        <v>0.25</v>
      </c>
      <c r="AH173" t="s">
        <v>443</v>
      </c>
    </row>
    <row r="174" spans="1:34" x14ac:dyDescent="0.25">
      <c r="A174" s="106"/>
      <c r="B174" s="106"/>
      <c r="C174" s="1"/>
      <c r="D174" s="66" t="s">
        <v>154</v>
      </c>
      <c r="E174" s="6"/>
      <c r="F174" s="6"/>
      <c r="G174" s="6">
        <f t="shared" si="20"/>
        <v>102335.58659333334</v>
      </c>
      <c r="H174" s="6"/>
      <c r="I174" s="6">
        <f t="shared" si="21"/>
        <v>102335.58659333334</v>
      </c>
      <c r="J174" s="6"/>
      <c r="K174" s="9"/>
      <c r="L174" s="9"/>
      <c r="T174" s="1" t="s">
        <v>328</v>
      </c>
      <c r="U174" s="1" t="s">
        <v>322</v>
      </c>
      <c r="V174" s="1" t="s">
        <v>323</v>
      </c>
      <c r="W174" s="1" t="s">
        <v>324</v>
      </c>
      <c r="X174" s="1" t="s">
        <v>452</v>
      </c>
    </row>
    <row r="175" spans="1:34" x14ac:dyDescent="0.25">
      <c r="A175" s="106"/>
      <c r="B175" s="106"/>
      <c r="C175" s="1"/>
      <c r="D175" s="66" t="s">
        <v>203</v>
      </c>
      <c r="E175" s="6"/>
      <c r="F175" s="6"/>
      <c r="G175" s="6">
        <f t="shared" si="20"/>
        <v>8771.6217080000006</v>
      </c>
      <c r="H175" s="6"/>
      <c r="I175" s="6">
        <f t="shared" si="21"/>
        <v>8771.6217080000006</v>
      </c>
      <c r="J175" s="6"/>
      <c r="K175" s="9"/>
      <c r="L175" s="25" t="s">
        <v>448</v>
      </c>
      <c r="M175" s="190" t="s">
        <v>455</v>
      </c>
      <c r="N175" s="190"/>
      <c r="O175" s="74"/>
      <c r="P175" s="169"/>
      <c r="Q175" s="39"/>
      <c r="R175" s="74">
        <f>(U154)</f>
        <v>12256196.30039623</v>
      </c>
      <c r="S175" s="4"/>
      <c r="T175" s="1">
        <v>1</v>
      </c>
      <c r="U175" s="1">
        <v>0</v>
      </c>
      <c r="V175" s="1">
        <v>8038926</v>
      </c>
      <c r="W175" s="1">
        <v>0</v>
      </c>
      <c r="X175" s="1">
        <v>0</v>
      </c>
      <c r="Y175" t="s">
        <v>444</v>
      </c>
    </row>
    <row r="176" spans="1:34" x14ac:dyDescent="0.25">
      <c r="A176" s="106"/>
      <c r="B176" s="106"/>
      <c r="C176" s="1"/>
      <c r="D176" s="66" t="s">
        <v>211</v>
      </c>
      <c r="E176" s="6"/>
      <c r="F176" s="6"/>
      <c r="G176" s="6">
        <f t="shared" si="20"/>
        <v>53356.274182366666</v>
      </c>
      <c r="H176" s="6"/>
      <c r="I176" s="6">
        <f t="shared" si="21"/>
        <v>53356.274182366666</v>
      </c>
      <c r="J176" s="6"/>
      <c r="K176" s="9"/>
      <c r="L176" s="25"/>
      <c r="M176" s="39"/>
      <c r="N176" s="39"/>
      <c r="O176" s="39"/>
      <c r="P176" s="39"/>
      <c r="Q176" s="39"/>
      <c r="R176" s="39"/>
      <c r="T176" s="1">
        <v>2</v>
      </c>
      <c r="U176" s="1">
        <f>(V175)</f>
        <v>8038926</v>
      </c>
      <c r="V176" s="1">
        <v>17864280</v>
      </c>
      <c r="W176" s="1">
        <v>0.04</v>
      </c>
      <c r="X176" s="1">
        <v>321557</v>
      </c>
    </row>
    <row r="177" spans="1:23" x14ac:dyDescent="0.25">
      <c r="A177" s="106"/>
      <c r="B177" s="106"/>
      <c r="C177" s="1"/>
      <c r="D177" s="66" t="s">
        <v>201</v>
      </c>
      <c r="E177" s="6"/>
      <c r="F177" s="6"/>
      <c r="G177" s="6">
        <f>(F152)</f>
        <v>31039.961786700002</v>
      </c>
      <c r="H177" s="6"/>
      <c r="I177" s="6">
        <f t="shared" si="21"/>
        <v>31039.961786700002</v>
      </c>
      <c r="J177" s="6"/>
      <c r="K177" s="9"/>
      <c r="L177" s="25"/>
      <c r="M177" s="39" t="s">
        <v>453</v>
      </c>
      <c r="N177" s="39" t="s">
        <v>454</v>
      </c>
      <c r="O177" s="39"/>
      <c r="P177" s="39"/>
      <c r="Q177" s="74">
        <f>(R175*W176-X176)</f>
        <v>168690.8520158492</v>
      </c>
      <c r="R177" s="39"/>
    </row>
    <row r="178" spans="1:23" x14ac:dyDescent="0.25">
      <c r="A178" s="106"/>
      <c r="B178" s="106"/>
      <c r="C178" s="1"/>
      <c r="D178" s="66" t="s">
        <v>202</v>
      </c>
      <c r="E178" s="6"/>
      <c r="F178" s="6"/>
      <c r="G178" s="6">
        <f>(F153)</f>
        <v>52091.048462000006</v>
      </c>
      <c r="H178" s="6"/>
      <c r="I178" s="6">
        <f t="shared" si="21"/>
        <v>52091.048462000006</v>
      </c>
      <c r="J178" s="6"/>
      <c r="K178" s="9"/>
      <c r="L178" s="25"/>
      <c r="M178" s="39"/>
      <c r="N178" s="39"/>
      <c r="O178" s="39"/>
      <c r="P178" s="39"/>
      <c r="Q178" s="39"/>
      <c r="R178" s="39"/>
      <c r="T178">
        <v>12256196</v>
      </c>
      <c r="U178" t="s">
        <v>456</v>
      </c>
      <c r="V178">
        <v>0.04</v>
      </c>
      <c r="W178" s="4">
        <f>(T178*V178)</f>
        <v>490247.84</v>
      </c>
    </row>
    <row r="179" spans="1:23" x14ac:dyDescent="0.25">
      <c r="A179" s="106"/>
      <c r="B179" s="106"/>
      <c r="C179" s="1"/>
      <c r="D179" s="54" t="s">
        <v>215</v>
      </c>
      <c r="E179" s="6"/>
      <c r="F179" s="6"/>
      <c r="G179" s="6"/>
      <c r="H179" s="6">
        <f>(F145+F146+F147+F148+F149+F150+F152+F153)</f>
        <v>518544.05398676672</v>
      </c>
      <c r="I179" s="6"/>
      <c r="J179" s="6">
        <f>(F179+H179)</f>
        <v>518544.05398676672</v>
      </c>
      <c r="K179" s="9"/>
      <c r="L179" s="25"/>
      <c r="M179" s="39"/>
      <c r="N179" s="39"/>
      <c r="O179" s="39"/>
      <c r="P179" s="39"/>
      <c r="Q179" s="39"/>
      <c r="R179" s="39"/>
      <c r="T179" t="s">
        <v>457</v>
      </c>
      <c r="W179">
        <f>(X176)</f>
        <v>321557</v>
      </c>
    </row>
    <row r="180" spans="1:23" x14ac:dyDescent="0.25">
      <c r="A180" s="108"/>
      <c r="B180" s="108"/>
      <c r="C180" s="44"/>
      <c r="D180" s="103" t="s">
        <v>221</v>
      </c>
      <c r="E180" s="79"/>
      <c r="F180" s="79"/>
      <c r="G180" s="79"/>
      <c r="H180" s="79">
        <f>(G171+G172+G173+G174+G175+G176+G177+G178-H179)</f>
        <v>0</v>
      </c>
      <c r="I180" s="79"/>
      <c r="J180" s="79">
        <f>(I171+I172+I173+I174+I175+I176+I177+I178-J179)</f>
        <v>0</v>
      </c>
      <c r="K180" s="9"/>
      <c r="L180" s="25"/>
      <c r="M180" s="39" t="s">
        <v>459</v>
      </c>
      <c r="N180" s="39"/>
      <c r="O180" s="39"/>
      <c r="P180" s="39"/>
      <c r="Q180" s="74">
        <f>(R175*25%)</f>
        <v>3064049.0750990575</v>
      </c>
      <c r="R180" s="39"/>
      <c r="T180" t="s">
        <v>458</v>
      </c>
      <c r="W180" s="4">
        <f>(W178-W179)</f>
        <v>168690.84000000003</v>
      </c>
    </row>
    <row r="181" spans="1:23" x14ac:dyDescent="0.25">
      <c r="A181" s="106"/>
      <c r="B181" s="106" t="s">
        <v>101</v>
      </c>
      <c r="C181" s="28">
        <v>43802</v>
      </c>
      <c r="D181" s="63" t="s">
        <v>217</v>
      </c>
      <c r="E181" s="63"/>
      <c r="F181" s="63"/>
      <c r="G181" s="76">
        <v>3975552</v>
      </c>
      <c r="H181" s="75"/>
      <c r="I181" s="57">
        <f>(E181+G181)</f>
        <v>3975552</v>
      </c>
      <c r="J181" s="1"/>
      <c r="K181" s="9"/>
      <c r="L181" s="25"/>
      <c r="M181" s="39" t="s">
        <v>460</v>
      </c>
      <c r="N181" s="39"/>
      <c r="O181" s="39"/>
      <c r="P181" s="39"/>
      <c r="Q181" s="74">
        <f>(Q180-Q177)</f>
        <v>2895358.2230832083</v>
      </c>
      <c r="R181" s="39"/>
    </row>
    <row r="182" spans="1:23" x14ac:dyDescent="0.25">
      <c r="A182" s="106"/>
      <c r="B182" s="106" t="s">
        <v>238</v>
      </c>
      <c r="C182" s="28">
        <v>43829</v>
      </c>
      <c r="D182" s="63" t="s">
        <v>218</v>
      </c>
      <c r="E182" s="63"/>
      <c r="F182" s="63"/>
      <c r="G182" s="76">
        <v>3373650</v>
      </c>
      <c r="H182" s="75"/>
      <c r="I182" s="57">
        <f>(E182+G182)</f>
        <v>3373650</v>
      </c>
      <c r="J182" s="1"/>
      <c r="K182" s="9"/>
      <c r="L182" s="25"/>
      <c r="M182" s="39"/>
      <c r="N182" s="39"/>
      <c r="O182" s="39"/>
      <c r="P182" s="39"/>
      <c r="Q182" s="39"/>
      <c r="R182" s="39"/>
    </row>
    <row r="183" spans="1:23" x14ac:dyDescent="0.25">
      <c r="A183" s="106"/>
      <c r="B183" s="106"/>
      <c r="C183" s="1"/>
      <c r="D183" s="54" t="s">
        <v>215</v>
      </c>
      <c r="E183" s="54"/>
      <c r="F183" s="54"/>
      <c r="G183" s="56"/>
      <c r="H183" s="77">
        <f>(G181+G182)</f>
        <v>7349202</v>
      </c>
      <c r="I183" s="54"/>
      <c r="J183" s="58">
        <f>(F183+H183)</f>
        <v>7349202</v>
      </c>
      <c r="K183" s="9"/>
      <c r="L183" s="9"/>
      <c r="M183" s="198" t="s">
        <v>447</v>
      </c>
      <c r="N183" s="198"/>
      <c r="O183" s="4">
        <f>(U154)</f>
        <v>12256196.30039623</v>
      </c>
      <c r="P183" s="2">
        <v>0.25</v>
      </c>
      <c r="S183" s="4">
        <f>(O183*P183)</f>
        <v>3064049.0750990575</v>
      </c>
    </row>
    <row r="184" spans="1:23" x14ac:dyDescent="0.25">
      <c r="A184" s="108"/>
      <c r="B184" s="108"/>
      <c r="C184" s="44"/>
      <c r="D184" s="44" t="s">
        <v>117</v>
      </c>
      <c r="E184" s="44">
        <f>(E181+E182-F183)</f>
        <v>0</v>
      </c>
      <c r="F184" s="44"/>
      <c r="G184" s="44">
        <f>(G181+G182-H183)</f>
        <v>0</v>
      </c>
      <c r="H184" s="44"/>
      <c r="I184" s="44">
        <f>(I181+I182-J183)</f>
        <v>0</v>
      </c>
      <c r="J184" s="44"/>
      <c r="K184" s="9"/>
      <c r="L184" s="9"/>
    </row>
    <row r="185" spans="1:23" x14ac:dyDescent="0.25">
      <c r="A185" s="109"/>
      <c r="B185" s="109"/>
      <c r="C185" s="28">
        <v>43805</v>
      </c>
      <c r="D185" s="29" t="s">
        <v>2</v>
      </c>
      <c r="E185" s="29"/>
      <c r="F185" s="29"/>
      <c r="G185" s="34">
        <f>NOVIEMBRE!E120</f>
        <v>9788761.5</v>
      </c>
      <c r="H185" s="29"/>
      <c r="I185" s="34">
        <f>(E185+G185)</f>
        <v>9788761.5</v>
      </c>
      <c r="J185" s="76"/>
      <c r="K185" s="9"/>
      <c r="L185" s="9"/>
      <c r="S185" s="4">
        <f>(Q181)</f>
        <v>2895358.2230832083</v>
      </c>
    </row>
    <row r="186" spans="1:23" x14ac:dyDescent="0.25">
      <c r="A186" s="106"/>
      <c r="B186" s="106"/>
      <c r="C186" s="28"/>
      <c r="D186" s="29" t="s">
        <v>215</v>
      </c>
      <c r="E186" s="1"/>
      <c r="F186" s="1"/>
      <c r="G186" s="6"/>
      <c r="H186" s="1"/>
      <c r="I186" s="6">
        <f t="shared" ref="I186:J198" si="22">(E186+G186)</f>
        <v>0</v>
      </c>
      <c r="J186" s="6"/>
      <c r="K186" s="9"/>
      <c r="L186" s="9"/>
    </row>
    <row r="187" spans="1:23" x14ac:dyDescent="0.25">
      <c r="A187" s="106"/>
      <c r="B187" s="106"/>
      <c r="C187" s="1"/>
      <c r="D187" s="56" t="s">
        <v>11</v>
      </c>
      <c r="E187" s="54"/>
      <c r="F187" s="54"/>
      <c r="G187" s="54"/>
      <c r="H187" s="58">
        <f>(G185+G186)</f>
        <v>9788761.5</v>
      </c>
      <c r="I187" s="6"/>
      <c r="J187" s="6">
        <f t="shared" si="22"/>
        <v>9788761.5</v>
      </c>
      <c r="K187" s="9"/>
      <c r="L187" s="9"/>
    </row>
    <row r="188" spans="1:23" x14ac:dyDescent="0.25">
      <c r="A188" s="108"/>
      <c r="B188" s="108"/>
      <c r="C188" s="44"/>
      <c r="D188" s="53" t="s">
        <v>116</v>
      </c>
      <c r="E188" s="44"/>
      <c r="F188" s="44"/>
      <c r="G188" s="44"/>
      <c r="H188" s="44"/>
      <c r="I188" s="44"/>
      <c r="J188" s="44"/>
      <c r="K188" s="9"/>
      <c r="L188" s="9"/>
    </row>
    <row r="189" spans="1:23" x14ac:dyDescent="0.25">
      <c r="A189" s="106"/>
      <c r="B189" s="106" t="s">
        <v>228</v>
      </c>
      <c r="C189" s="28">
        <v>43813</v>
      </c>
      <c r="D189" s="1" t="s">
        <v>113</v>
      </c>
      <c r="E189" s="1"/>
      <c r="F189" s="1"/>
      <c r="G189" s="1">
        <v>0</v>
      </c>
      <c r="H189" s="1"/>
      <c r="I189" s="1">
        <f t="shared" ref="I189:J192" si="23">(E189+G189)</f>
        <v>0</v>
      </c>
      <c r="J189" s="1">
        <f t="shared" si="23"/>
        <v>0</v>
      </c>
      <c r="K189" s="9"/>
      <c r="L189" s="9"/>
    </row>
    <row r="190" spans="1:23" x14ac:dyDescent="0.25">
      <c r="A190" s="106"/>
      <c r="B190" s="106"/>
      <c r="C190" s="1"/>
      <c r="D190" s="1" t="s">
        <v>114</v>
      </c>
      <c r="E190" s="1"/>
      <c r="F190" s="1"/>
      <c r="G190" s="6">
        <f>NOVIEMBRE!G82</f>
        <v>33862.5</v>
      </c>
      <c r="H190" s="1"/>
      <c r="I190" s="6">
        <f t="shared" si="23"/>
        <v>33862.5</v>
      </c>
      <c r="J190" s="6"/>
      <c r="K190" s="9"/>
      <c r="L190" s="9"/>
    </row>
    <row r="191" spans="1:23" x14ac:dyDescent="0.25">
      <c r="A191" s="106"/>
      <c r="B191" s="106"/>
      <c r="C191" s="1"/>
      <c r="D191" s="1" t="s">
        <v>196</v>
      </c>
      <c r="E191" s="1"/>
      <c r="F191" s="1"/>
      <c r="G191" s="6">
        <f>NOVIEMBRE!G81</f>
        <v>20753.858484173332</v>
      </c>
      <c r="H191" s="1"/>
      <c r="I191" s="6">
        <f t="shared" si="23"/>
        <v>20753.858484173332</v>
      </c>
      <c r="J191" s="6"/>
      <c r="K191" s="9"/>
      <c r="L191" s="9"/>
    </row>
    <row r="192" spans="1:23" x14ac:dyDescent="0.25">
      <c r="A192" s="106"/>
      <c r="B192" s="106"/>
      <c r="C192" s="1"/>
      <c r="D192" s="29" t="s">
        <v>115</v>
      </c>
      <c r="E192" s="1"/>
      <c r="F192" s="1"/>
      <c r="G192" s="1">
        <f>NOVIEMBRE!G83</f>
        <v>274195</v>
      </c>
      <c r="H192" s="1"/>
      <c r="I192" s="6">
        <f t="shared" si="23"/>
        <v>274195</v>
      </c>
      <c r="J192" s="6"/>
      <c r="K192" s="9"/>
      <c r="L192" s="9"/>
    </row>
    <row r="193" spans="1:17" x14ac:dyDescent="0.25">
      <c r="A193" s="106"/>
      <c r="B193" s="106"/>
      <c r="C193" s="1"/>
      <c r="D193" s="56" t="s">
        <v>215</v>
      </c>
      <c r="E193" s="54"/>
      <c r="F193" s="54"/>
      <c r="G193" s="54"/>
      <c r="H193" s="58">
        <f>NOVIEMBRE!G85</f>
        <v>328811.35848417331</v>
      </c>
      <c r="I193" s="6"/>
      <c r="J193" s="6">
        <f t="shared" ref="J193" si="24">(F193+H193)</f>
        <v>328811.35848417331</v>
      </c>
      <c r="K193" s="9"/>
      <c r="L193" s="9"/>
    </row>
    <row r="194" spans="1:17" x14ac:dyDescent="0.25">
      <c r="A194" s="108"/>
      <c r="B194" s="108"/>
      <c r="C194" s="44"/>
      <c r="D194" s="53" t="s">
        <v>118</v>
      </c>
      <c r="E194" s="44"/>
      <c r="F194" s="44"/>
      <c r="G194" s="44"/>
      <c r="H194" s="44"/>
      <c r="I194" s="44"/>
      <c r="J194" s="44"/>
      <c r="K194" s="9"/>
      <c r="L194" s="9"/>
    </row>
    <row r="195" spans="1:17" x14ac:dyDescent="0.25">
      <c r="A195" s="106"/>
      <c r="B195" s="106" t="s">
        <v>241</v>
      </c>
      <c r="C195" s="28">
        <v>43830</v>
      </c>
      <c r="D195" s="1" t="s">
        <v>119</v>
      </c>
      <c r="E195" s="1"/>
      <c r="F195" s="1"/>
      <c r="G195" s="1">
        <v>4790661</v>
      </c>
      <c r="H195" s="1"/>
      <c r="I195" s="1">
        <f t="shared" si="22"/>
        <v>4790661</v>
      </c>
      <c r="J195" s="1"/>
      <c r="K195" s="9" t="s">
        <v>127</v>
      </c>
      <c r="L195" s="9"/>
    </row>
    <row r="196" spans="1:17" x14ac:dyDescent="0.25">
      <c r="A196" s="106"/>
      <c r="B196" s="106"/>
      <c r="C196" s="1"/>
      <c r="D196" s="54" t="s">
        <v>10</v>
      </c>
      <c r="E196" s="54"/>
      <c r="F196" s="54"/>
      <c r="G196" s="54"/>
      <c r="H196" s="54">
        <v>4790661</v>
      </c>
      <c r="I196" s="54"/>
      <c r="J196" s="54">
        <f t="shared" si="22"/>
        <v>4790661</v>
      </c>
      <c r="K196" s="9"/>
      <c r="L196" s="9"/>
    </row>
    <row r="197" spans="1:17" x14ac:dyDescent="0.25">
      <c r="A197" s="108"/>
      <c r="B197" s="108"/>
      <c r="C197" s="44"/>
      <c r="D197" s="53" t="s">
        <v>120</v>
      </c>
      <c r="E197" s="44"/>
      <c r="F197" s="44"/>
      <c r="G197" s="44"/>
      <c r="H197" s="44"/>
      <c r="I197" s="44">
        <f t="shared" si="22"/>
        <v>0</v>
      </c>
      <c r="J197" s="44">
        <f t="shared" si="22"/>
        <v>0</v>
      </c>
      <c r="K197" s="9"/>
      <c r="L197" s="9"/>
    </row>
    <row r="198" spans="1:17" x14ac:dyDescent="0.25">
      <c r="A198" s="106"/>
      <c r="B198" s="106" t="s">
        <v>239</v>
      </c>
      <c r="C198" s="28">
        <v>43830</v>
      </c>
      <c r="D198" s="1" t="s">
        <v>115</v>
      </c>
      <c r="E198" s="1"/>
      <c r="F198" s="1"/>
      <c r="G198" s="63">
        <f>(G94)</f>
        <v>350805</v>
      </c>
      <c r="H198" s="63"/>
      <c r="I198" s="63">
        <f t="shared" si="22"/>
        <v>350805</v>
      </c>
      <c r="J198" s="63">
        <f t="shared" si="22"/>
        <v>0</v>
      </c>
      <c r="K198" s="9" t="s">
        <v>126</v>
      </c>
      <c r="L198" s="9"/>
    </row>
    <row r="199" spans="1:17" x14ac:dyDescent="0.25">
      <c r="A199" s="106"/>
      <c r="B199" s="106"/>
      <c r="C199" s="1"/>
      <c r="D199" s="54" t="s">
        <v>121</v>
      </c>
      <c r="E199" s="54"/>
      <c r="F199" s="54"/>
      <c r="G199" s="54"/>
      <c r="H199" s="54">
        <f>(G198)</f>
        <v>350805</v>
      </c>
      <c r="I199" s="54">
        <f t="shared" ref="I199:J199" si="25">(E199+G199)</f>
        <v>0</v>
      </c>
      <c r="J199" s="54">
        <f t="shared" si="25"/>
        <v>350805</v>
      </c>
      <c r="K199" s="9"/>
      <c r="L199" s="9"/>
    </row>
    <row r="200" spans="1:17" x14ac:dyDescent="0.25">
      <c r="A200" s="108"/>
      <c r="B200" s="108"/>
      <c r="C200" s="44"/>
      <c r="D200" s="53" t="s">
        <v>122</v>
      </c>
      <c r="E200" s="44"/>
      <c r="F200" s="44"/>
      <c r="G200" s="44"/>
      <c r="H200" s="44"/>
      <c r="I200" s="44"/>
      <c r="J200" s="44"/>
      <c r="K200" s="9"/>
      <c r="L200" s="9"/>
    </row>
    <row r="201" spans="1:17" x14ac:dyDescent="0.25">
      <c r="A201" s="106"/>
      <c r="B201" s="106">
        <v>19</v>
      </c>
      <c r="C201" s="28">
        <v>43830</v>
      </c>
      <c r="D201" s="1" t="s">
        <v>19</v>
      </c>
      <c r="E201" s="1"/>
      <c r="F201" s="1"/>
      <c r="G201" s="1">
        <f>(J344)</f>
        <v>12241050</v>
      </c>
      <c r="H201" s="1"/>
      <c r="I201" s="1">
        <f>(E201+G201)</f>
        <v>12241050</v>
      </c>
      <c r="J201" s="1"/>
      <c r="K201" s="9" t="s">
        <v>366</v>
      </c>
      <c r="L201" s="9"/>
    </row>
    <row r="202" spans="1:17" x14ac:dyDescent="0.25">
      <c r="A202" s="106"/>
      <c r="B202" s="106"/>
      <c r="C202" s="1"/>
      <c r="D202" s="54" t="s">
        <v>6</v>
      </c>
      <c r="E202" s="1"/>
      <c r="F202" s="1"/>
      <c r="G202" s="1"/>
      <c r="H202" s="1">
        <f>(G201)</f>
        <v>12241050</v>
      </c>
      <c r="I202" s="1"/>
      <c r="J202" s="1">
        <f>(F202+H202)</f>
        <v>12241050</v>
      </c>
      <c r="K202" s="9"/>
      <c r="L202" s="9"/>
    </row>
    <row r="203" spans="1:17" x14ac:dyDescent="0.25">
      <c r="A203" s="111"/>
      <c r="B203" s="111"/>
      <c r="C203" s="53"/>
      <c r="D203" s="53" t="s">
        <v>240</v>
      </c>
      <c r="E203" s="53"/>
      <c r="F203" s="53"/>
      <c r="G203" s="53"/>
      <c r="H203" s="53"/>
      <c r="I203" s="53"/>
      <c r="J203" s="53"/>
      <c r="K203" s="9"/>
      <c r="L203" s="9"/>
      <c r="N203" t="s">
        <v>428</v>
      </c>
    </row>
    <row r="204" spans="1:17" x14ac:dyDescent="0.25">
      <c r="A204" s="106"/>
      <c r="B204" s="106" t="s">
        <v>242</v>
      </c>
      <c r="C204" s="28">
        <v>43830</v>
      </c>
      <c r="D204" s="1" t="s">
        <v>21</v>
      </c>
      <c r="E204" s="1"/>
      <c r="F204" s="1"/>
      <c r="G204" s="73">
        <f>(O204)</f>
        <v>34000</v>
      </c>
      <c r="H204" s="73"/>
      <c r="I204" s="73">
        <f t="shared" ref="I204" si="26">(E204+G204)</f>
        <v>34000</v>
      </c>
      <c r="J204" s="73"/>
      <c r="K204" s="50"/>
      <c r="L204" s="121"/>
      <c r="M204">
        <v>17000000</v>
      </c>
      <c r="N204" s="99">
        <v>2E-3</v>
      </c>
      <c r="O204">
        <f>(M204*N204)</f>
        <v>34000</v>
      </c>
    </row>
    <row r="205" spans="1:17" x14ac:dyDescent="0.25">
      <c r="A205" s="106"/>
      <c r="B205" s="106"/>
      <c r="C205" s="1"/>
      <c r="D205" s="54" t="s">
        <v>17</v>
      </c>
      <c r="E205" s="54"/>
      <c r="F205" s="54"/>
      <c r="G205" s="54"/>
      <c r="H205" s="54">
        <f>(G204)</f>
        <v>34000</v>
      </c>
      <c r="I205" s="54"/>
      <c r="J205" s="54">
        <f>(F205+H205)</f>
        <v>34000</v>
      </c>
      <c r="K205" s="50"/>
      <c r="L205" s="9"/>
    </row>
    <row r="206" spans="1:17" x14ac:dyDescent="0.25">
      <c r="A206" s="108"/>
      <c r="B206" s="108"/>
      <c r="C206" s="44"/>
      <c r="D206" s="53" t="s">
        <v>261</v>
      </c>
      <c r="E206" s="44"/>
      <c r="F206" s="44"/>
      <c r="G206" s="44"/>
      <c r="H206" s="44"/>
      <c r="I206" s="44"/>
      <c r="J206" s="44"/>
      <c r="K206" s="50"/>
      <c r="L206" s="9"/>
      <c r="M206" s="191" t="s">
        <v>402</v>
      </c>
      <c r="N206" s="191"/>
      <c r="O206" s="191"/>
      <c r="P206" s="191"/>
      <c r="Q206" s="191"/>
    </row>
    <row r="207" spans="1:17" x14ac:dyDescent="0.25">
      <c r="A207" s="106"/>
      <c r="B207" s="106" t="s">
        <v>243</v>
      </c>
      <c r="C207" s="28">
        <v>43830</v>
      </c>
      <c r="D207" s="1" t="s">
        <v>17</v>
      </c>
      <c r="E207" s="1"/>
      <c r="F207" s="1"/>
      <c r="G207" s="1">
        <f>(P210)</f>
        <v>9500</v>
      </c>
      <c r="H207" s="1"/>
      <c r="I207" s="1">
        <f>(E207+G207)</f>
        <v>9500</v>
      </c>
      <c r="J207" s="1"/>
      <c r="K207" s="50"/>
      <c r="L207" s="9"/>
      <c r="M207" s="1" t="s">
        <v>403</v>
      </c>
      <c r="N207" s="1" t="s">
        <v>404</v>
      </c>
      <c r="O207" s="1" t="s">
        <v>368</v>
      </c>
      <c r="P207" s="1" t="s">
        <v>369</v>
      </c>
      <c r="Q207" s="1" t="s">
        <v>405</v>
      </c>
    </row>
    <row r="208" spans="1:17" x14ac:dyDescent="0.25">
      <c r="A208" s="106"/>
      <c r="B208" s="106"/>
      <c r="C208" s="1"/>
      <c r="D208" s="54" t="s">
        <v>21</v>
      </c>
      <c r="E208" s="1"/>
      <c r="F208" s="1"/>
      <c r="G208" s="1"/>
      <c r="H208" s="1">
        <f>(G207)</f>
        <v>9500</v>
      </c>
      <c r="I208" s="1"/>
      <c r="J208" s="1">
        <f>(F208+H208)</f>
        <v>9500</v>
      </c>
      <c r="K208" s="50"/>
      <c r="L208" s="9"/>
      <c r="M208" s="1" t="s">
        <v>98</v>
      </c>
      <c r="N208" s="1">
        <f>(E122)</f>
        <v>4750000</v>
      </c>
      <c r="O208" s="49">
        <v>2E-3</v>
      </c>
      <c r="P208" s="1">
        <f>(N208*O208)</f>
        <v>9500</v>
      </c>
      <c r="Q208" s="1">
        <f>(N208+P208)</f>
        <v>4759500</v>
      </c>
    </row>
    <row r="209" spans="1:17" x14ac:dyDescent="0.25">
      <c r="A209" s="111"/>
      <c r="B209" s="111"/>
      <c r="C209" s="53"/>
      <c r="D209" s="53" t="s">
        <v>262</v>
      </c>
      <c r="E209" s="53"/>
      <c r="F209" s="53"/>
      <c r="G209" s="53"/>
      <c r="H209" s="53"/>
      <c r="I209" s="53"/>
      <c r="J209" s="53"/>
      <c r="K209" s="50"/>
      <c r="L209" s="9"/>
      <c r="M209" s="1" t="s">
        <v>99</v>
      </c>
      <c r="N209" s="1">
        <f>(G122)</f>
        <v>7500000</v>
      </c>
      <c r="O209" s="49">
        <v>0</v>
      </c>
      <c r="P209" s="1">
        <f>(N209*O209)</f>
        <v>0</v>
      </c>
      <c r="Q209" s="1">
        <f>(N209+P209)</f>
        <v>7500000</v>
      </c>
    </row>
    <row r="210" spans="1:17" x14ac:dyDescent="0.25">
      <c r="A210" s="114"/>
      <c r="B210" s="114" t="s">
        <v>244</v>
      </c>
      <c r="C210" s="28">
        <v>43830</v>
      </c>
      <c r="D210" s="75" t="s">
        <v>13</v>
      </c>
      <c r="E210" s="75"/>
      <c r="F210" s="75"/>
      <c r="G210" s="75">
        <f>(G355)</f>
        <v>16200</v>
      </c>
      <c r="H210" s="75"/>
      <c r="I210" s="1">
        <f t="shared" ref="I210:I211" si="27">(E210+G210)</f>
        <v>16200</v>
      </c>
      <c r="J210" s="68"/>
      <c r="K210" s="50"/>
      <c r="L210" s="9"/>
      <c r="M210" s="1"/>
      <c r="N210" s="1">
        <f>SUM(N208:N209)</f>
        <v>12250000</v>
      </c>
      <c r="O210" s="1">
        <f t="shared" ref="O210:Q210" si="28">SUM(O208:O209)</f>
        <v>2E-3</v>
      </c>
      <c r="P210" s="1">
        <f t="shared" si="28"/>
        <v>9500</v>
      </c>
      <c r="Q210" s="1">
        <f t="shared" si="28"/>
        <v>12259500</v>
      </c>
    </row>
    <row r="211" spans="1:17" x14ac:dyDescent="0.25">
      <c r="A211" s="114"/>
      <c r="B211" s="114"/>
      <c r="C211" s="68"/>
      <c r="D211" s="75" t="s">
        <v>7</v>
      </c>
      <c r="E211" s="75"/>
      <c r="F211" s="75"/>
      <c r="G211" s="75">
        <f>(G360)</f>
        <v>0</v>
      </c>
      <c r="H211" s="75"/>
      <c r="I211" s="1">
        <f t="shared" si="27"/>
        <v>0</v>
      </c>
      <c r="J211" s="68"/>
      <c r="K211" s="50"/>
      <c r="L211" s="9"/>
    </row>
    <row r="212" spans="1:17" x14ac:dyDescent="0.25">
      <c r="A212" s="114"/>
      <c r="B212" s="114"/>
      <c r="C212" s="68"/>
      <c r="D212" s="56" t="s">
        <v>21</v>
      </c>
      <c r="E212" s="56"/>
      <c r="F212" s="56"/>
      <c r="G212" s="56"/>
      <c r="H212" s="56">
        <f>(G355+G360)</f>
        <v>16200</v>
      </c>
      <c r="I212" s="56"/>
      <c r="J212" s="56">
        <f>(F212+H212)</f>
        <v>16200</v>
      </c>
      <c r="K212" s="50"/>
      <c r="L212" s="9"/>
    </row>
    <row r="213" spans="1:17" x14ac:dyDescent="0.25">
      <c r="A213" s="111"/>
      <c r="B213" s="111"/>
      <c r="C213" s="53"/>
      <c r="D213" s="53" t="s">
        <v>245</v>
      </c>
      <c r="E213" s="53"/>
      <c r="F213" s="53"/>
      <c r="G213" s="53"/>
      <c r="H213" s="53"/>
      <c r="I213" s="53"/>
      <c r="J213" s="53"/>
      <c r="K213" s="50"/>
      <c r="L213" s="9"/>
    </row>
    <row r="214" spans="1:17" x14ac:dyDescent="0.25">
      <c r="A214" s="114"/>
      <c r="B214" s="114" t="s">
        <v>246</v>
      </c>
      <c r="C214" s="28">
        <v>43830</v>
      </c>
      <c r="D214" s="75" t="s">
        <v>247</v>
      </c>
      <c r="E214" s="75"/>
      <c r="F214" s="75"/>
      <c r="G214" s="76">
        <f>(J355+J360)</f>
        <v>340304.8</v>
      </c>
      <c r="H214" s="76"/>
      <c r="I214" s="6">
        <f t="shared" ref="I214" si="29">(E214+G214)</f>
        <v>340304.8</v>
      </c>
      <c r="J214" s="75"/>
      <c r="K214" s="50"/>
      <c r="L214" s="9"/>
    </row>
    <row r="215" spans="1:17" x14ac:dyDescent="0.25">
      <c r="A215" s="114"/>
      <c r="B215" s="114"/>
      <c r="C215" s="68"/>
      <c r="D215" s="56" t="s">
        <v>13</v>
      </c>
      <c r="E215" s="56"/>
      <c r="F215" s="56"/>
      <c r="G215" s="77"/>
      <c r="H215" s="77">
        <f>(J355)</f>
        <v>324648</v>
      </c>
      <c r="I215" s="77"/>
      <c r="J215" s="56">
        <f t="shared" ref="J215:J216" si="30">(F215+H215)</f>
        <v>324648</v>
      </c>
      <c r="K215" s="50"/>
      <c r="L215" s="9"/>
    </row>
    <row r="216" spans="1:17" x14ac:dyDescent="0.25">
      <c r="A216" s="114"/>
      <c r="B216" s="114"/>
      <c r="C216" s="68"/>
      <c r="D216" s="56" t="s">
        <v>7</v>
      </c>
      <c r="E216" s="56"/>
      <c r="F216" s="56"/>
      <c r="G216" s="77"/>
      <c r="H216" s="77">
        <f>(J360)</f>
        <v>15656.800000000001</v>
      </c>
      <c r="I216" s="77"/>
      <c r="J216" s="77">
        <f t="shared" si="30"/>
        <v>15656.800000000001</v>
      </c>
      <c r="K216" s="50"/>
      <c r="L216" s="9"/>
    </row>
    <row r="217" spans="1:17" x14ac:dyDescent="0.25">
      <c r="A217" s="111"/>
      <c r="B217" s="111"/>
      <c r="C217" s="53"/>
      <c r="D217" s="53" t="s">
        <v>248</v>
      </c>
      <c r="E217" s="53"/>
      <c r="F217" s="53"/>
      <c r="G217" s="53"/>
      <c r="H217" s="53"/>
      <c r="I217" s="53"/>
      <c r="J217" s="53">
        <f>(I214-J215-J216)</f>
        <v>-1.2732925824820995E-11</v>
      </c>
      <c r="K217" s="50"/>
      <c r="L217" s="9"/>
    </row>
    <row r="218" spans="1:17" x14ac:dyDescent="0.25">
      <c r="A218" s="114"/>
      <c r="B218" s="114" t="s">
        <v>256</v>
      </c>
      <c r="C218" s="28">
        <v>43830</v>
      </c>
      <c r="D218" s="75" t="s">
        <v>20</v>
      </c>
      <c r="E218" s="75"/>
      <c r="F218" s="75"/>
      <c r="G218" s="76">
        <f>(N355+N360)</f>
        <v>134332.57142857142</v>
      </c>
      <c r="H218" s="75"/>
      <c r="I218" s="6">
        <f>(E218+G218)</f>
        <v>134332.57142857142</v>
      </c>
      <c r="J218" s="76"/>
      <c r="K218" s="50"/>
      <c r="L218" s="9"/>
    </row>
    <row r="219" spans="1:17" x14ac:dyDescent="0.25">
      <c r="A219" s="114"/>
      <c r="B219" s="114"/>
      <c r="C219" s="28"/>
      <c r="D219" s="56" t="s">
        <v>13</v>
      </c>
      <c r="E219" s="68"/>
      <c r="F219" s="68"/>
      <c r="G219" s="68"/>
      <c r="H219" s="69">
        <f>(N355)</f>
        <v>129859.2</v>
      </c>
      <c r="I219" s="77"/>
      <c r="J219" s="77">
        <f t="shared" ref="J219:J220" si="31">(F219+H219)</f>
        <v>129859.2</v>
      </c>
      <c r="K219" s="50"/>
      <c r="L219" s="9"/>
    </row>
    <row r="220" spans="1:17" x14ac:dyDescent="0.25">
      <c r="A220" s="114"/>
      <c r="B220" s="114"/>
      <c r="C220" s="68"/>
      <c r="D220" s="56" t="s">
        <v>7</v>
      </c>
      <c r="E220" s="68"/>
      <c r="F220" s="68"/>
      <c r="G220" s="68"/>
      <c r="H220" s="69">
        <f>(N360)</f>
        <v>4473.3714285714286</v>
      </c>
      <c r="I220" s="77"/>
      <c r="J220" s="77">
        <f t="shared" si="31"/>
        <v>4473.3714285714286</v>
      </c>
      <c r="K220" s="50"/>
      <c r="L220" s="9"/>
    </row>
    <row r="221" spans="1:17" x14ac:dyDescent="0.25">
      <c r="A221" s="111"/>
      <c r="B221" s="111"/>
      <c r="C221" s="53"/>
      <c r="D221" s="53" t="s">
        <v>265</v>
      </c>
      <c r="E221" s="53"/>
      <c r="F221" s="53"/>
      <c r="G221" s="53"/>
      <c r="H221" s="53"/>
      <c r="I221" s="158"/>
      <c r="J221" s="158">
        <f>(I218-J219-J220)</f>
        <v>-5.4569682106375694E-12</v>
      </c>
      <c r="K221" s="9"/>
      <c r="L221" s="9"/>
    </row>
    <row r="222" spans="1:17" x14ac:dyDescent="0.25">
      <c r="A222" s="114"/>
      <c r="B222" s="114" t="s">
        <v>276</v>
      </c>
      <c r="C222" s="28">
        <v>43830</v>
      </c>
      <c r="D222" s="75" t="s">
        <v>263</v>
      </c>
      <c r="E222" s="75"/>
      <c r="F222" s="75"/>
      <c r="G222" s="75"/>
      <c r="H222" s="75"/>
      <c r="I222" s="75">
        <f>(E222+G222)</f>
        <v>0</v>
      </c>
      <c r="J222" s="75"/>
      <c r="K222" s="9"/>
      <c r="L222" s="9" t="s">
        <v>360</v>
      </c>
      <c r="M222" s="4">
        <f>(NOVIEMBRE!E79)</f>
        <v>521027.5</v>
      </c>
    </row>
    <row r="223" spans="1:17" x14ac:dyDescent="0.25">
      <c r="A223" s="114"/>
      <c r="B223" s="114"/>
      <c r="C223" s="68"/>
      <c r="D223" s="56" t="s">
        <v>264</v>
      </c>
      <c r="E223" s="56"/>
      <c r="F223" s="56"/>
      <c r="G223" s="56"/>
      <c r="H223" s="56"/>
      <c r="I223" s="56"/>
      <c r="J223" s="56">
        <f>(F223+H223)</f>
        <v>0</v>
      </c>
      <c r="K223" s="9"/>
      <c r="L223" s="9" t="s">
        <v>361</v>
      </c>
      <c r="M223" s="4">
        <f>(G86)</f>
        <v>521566.5</v>
      </c>
    </row>
    <row r="224" spans="1:17" x14ac:dyDescent="0.25">
      <c r="A224" s="111"/>
      <c r="B224" s="111"/>
      <c r="C224" s="53"/>
      <c r="D224" s="53" t="s">
        <v>266</v>
      </c>
      <c r="E224" s="53"/>
      <c r="F224" s="53"/>
      <c r="G224" s="53"/>
      <c r="H224" s="53"/>
      <c r="I224" s="53"/>
      <c r="J224" s="53"/>
      <c r="K224" s="9"/>
      <c r="L224" s="9"/>
      <c r="M224">
        <f>(M222-M223)</f>
        <v>-539</v>
      </c>
    </row>
    <row r="225" spans="1:12" x14ac:dyDescent="0.25">
      <c r="A225" s="114"/>
      <c r="B225" s="114" t="s">
        <v>276</v>
      </c>
      <c r="C225" s="28">
        <v>43830</v>
      </c>
      <c r="D225" s="75" t="s">
        <v>10</v>
      </c>
      <c r="E225" s="75"/>
      <c r="F225" s="75"/>
      <c r="G225" s="75">
        <v>539</v>
      </c>
      <c r="H225" s="75"/>
      <c r="I225" s="75"/>
      <c r="J225" s="75">
        <f>(E225+G225)</f>
        <v>539</v>
      </c>
      <c r="K225" s="9"/>
      <c r="L225" s="9"/>
    </row>
    <row r="226" spans="1:12" x14ac:dyDescent="0.25">
      <c r="A226" s="114"/>
      <c r="B226" s="114"/>
      <c r="C226" s="68"/>
      <c r="D226" s="56" t="s">
        <v>422</v>
      </c>
      <c r="E226" s="56"/>
      <c r="F226" s="56"/>
      <c r="G226" s="56"/>
      <c r="H226" s="56">
        <v>539</v>
      </c>
      <c r="I226" s="56"/>
      <c r="J226" s="56">
        <f>(F226+H226)</f>
        <v>539</v>
      </c>
      <c r="K226" s="9"/>
      <c r="L226" s="9"/>
    </row>
    <row r="227" spans="1:12" x14ac:dyDescent="0.25">
      <c r="A227" s="111"/>
      <c r="B227" s="111"/>
      <c r="C227" s="53"/>
      <c r="D227" s="53"/>
      <c r="E227" s="53"/>
      <c r="F227" s="53"/>
      <c r="G227" s="53"/>
      <c r="H227" s="53"/>
      <c r="I227" s="53"/>
      <c r="J227" s="53"/>
      <c r="K227" s="9"/>
      <c r="L227" s="9"/>
    </row>
    <row r="228" spans="1:12" x14ac:dyDescent="0.25">
      <c r="A228" s="114"/>
      <c r="B228" s="114" t="s">
        <v>275</v>
      </c>
      <c r="C228" s="28">
        <v>43830</v>
      </c>
      <c r="D228" s="75" t="s">
        <v>214</v>
      </c>
      <c r="E228" s="75"/>
      <c r="F228" s="75"/>
      <c r="G228" s="75">
        <v>400000</v>
      </c>
      <c r="H228" s="75"/>
      <c r="I228" s="75">
        <f>(E228+G228)</f>
        <v>400000</v>
      </c>
      <c r="J228" s="75"/>
      <c r="K228" s="9"/>
      <c r="L228" s="9"/>
    </row>
    <row r="229" spans="1:12" x14ac:dyDescent="0.25">
      <c r="A229" s="114"/>
      <c r="B229" s="114"/>
      <c r="C229" s="68"/>
      <c r="D229" s="56" t="s">
        <v>2</v>
      </c>
      <c r="E229" s="56"/>
      <c r="F229" s="56"/>
      <c r="G229" s="56"/>
      <c r="H229" s="56">
        <v>400000</v>
      </c>
      <c r="I229" s="56"/>
      <c r="J229" s="56">
        <f>(F229+H229)</f>
        <v>400000</v>
      </c>
      <c r="K229" s="9"/>
      <c r="L229" s="9"/>
    </row>
    <row r="230" spans="1:12" x14ac:dyDescent="0.25">
      <c r="A230" s="111"/>
      <c r="B230" s="111"/>
      <c r="C230" s="53"/>
      <c r="D230" s="53" t="s">
        <v>419</v>
      </c>
      <c r="E230" s="53"/>
      <c r="F230" s="53"/>
      <c r="G230" s="53"/>
      <c r="H230" s="53"/>
      <c r="I230" s="53"/>
      <c r="J230" s="53"/>
      <c r="K230" s="9"/>
      <c r="L230" s="9"/>
    </row>
    <row r="231" spans="1:12" x14ac:dyDescent="0.25">
      <c r="A231" s="112"/>
      <c r="B231" s="112"/>
      <c r="C231" s="113"/>
      <c r="D231" s="113"/>
      <c r="E231" s="113"/>
      <c r="F231" s="113"/>
      <c r="G231" s="113"/>
      <c r="H231" s="113"/>
      <c r="I231" s="113"/>
      <c r="J231" s="113"/>
      <c r="K231" s="9"/>
      <c r="L231" s="9"/>
    </row>
    <row r="232" spans="1:12" x14ac:dyDescent="0.25">
      <c r="C232" s="9"/>
      <c r="D232" s="26" t="s">
        <v>311</v>
      </c>
      <c r="E232" s="171" t="s">
        <v>141</v>
      </c>
      <c r="F232" s="171"/>
      <c r="G232" s="9"/>
      <c r="H232" s="9"/>
      <c r="I232" s="9"/>
      <c r="J232" s="9"/>
      <c r="K232" s="9"/>
      <c r="L232" s="9"/>
    </row>
    <row r="233" spans="1:12" x14ac:dyDescent="0.25">
      <c r="C233" s="9"/>
      <c r="D233" s="9" t="s">
        <v>142</v>
      </c>
      <c r="E233" s="9"/>
      <c r="F233" s="9">
        <v>520000</v>
      </c>
      <c r="G233" s="9"/>
      <c r="H233" s="9"/>
      <c r="I233" s="9"/>
      <c r="J233" s="9"/>
      <c r="K233" s="9"/>
      <c r="L233" s="9"/>
    </row>
    <row r="234" spans="1:12" x14ac:dyDescent="0.25">
      <c r="C234" s="9"/>
      <c r="D234" s="9" t="s">
        <v>143</v>
      </c>
      <c r="E234" s="9"/>
      <c r="F234" s="9">
        <v>119146</v>
      </c>
      <c r="G234" s="9"/>
      <c r="H234" s="9" t="s">
        <v>144</v>
      </c>
      <c r="I234" s="9"/>
      <c r="J234" s="9"/>
      <c r="K234" s="9"/>
      <c r="L234" s="9"/>
    </row>
    <row r="235" spans="1:12" x14ac:dyDescent="0.25">
      <c r="C235" s="9"/>
      <c r="D235" s="8" t="s">
        <v>145</v>
      </c>
      <c r="E235" s="9"/>
      <c r="F235" s="10">
        <f>(K235)</f>
        <v>101110.1</v>
      </c>
      <c r="G235" s="9"/>
      <c r="H235" s="9">
        <f>(F233)</f>
        <v>520000</v>
      </c>
      <c r="I235" s="9">
        <v>7.7777000000000002E-3</v>
      </c>
      <c r="J235" s="8">
        <v>25</v>
      </c>
      <c r="K235" s="10">
        <f>(H235*I235)*J235</f>
        <v>101110.1</v>
      </c>
      <c r="L235" s="9"/>
    </row>
    <row r="236" spans="1:12" x14ac:dyDescent="0.25">
      <c r="C236" s="9"/>
      <c r="D236" s="8" t="s">
        <v>146</v>
      </c>
      <c r="E236" s="9"/>
      <c r="F236" s="24">
        <f>(K236)</f>
        <v>964713.75</v>
      </c>
      <c r="G236" s="9"/>
      <c r="H236" s="9" t="s">
        <v>312</v>
      </c>
      <c r="I236" s="9">
        <f>(F81)</f>
        <v>17540250</v>
      </c>
      <c r="J236" s="162">
        <v>5.5E-2</v>
      </c>
      <c r="K236" s="9">
        <f>(I236*J236)</f>
        <v>964713.75</v>
      </c>
      <c r="L236" s="9"/>
    </row>
    <row r="237" spans="1:12" x14ac:dyDescent="0.25">
      <c r="D237" s="8" t="s">
        <v>339</v>
      </c>
      <c r="F237" s="25">
        <v>200000</v>
      </c>
      <c r="H237" s="39" t="s">
        <v>313</v>
      </c>
      <c r="I237" s="39"/>
      <c r="J237" s="39" t="s">
        <v>314</v>
      </c>
    </row>
    <row r="238" spans="1:12" x14ac:dyDescent="0.25">
      <c r="D238" s="8" t="s">
        <v>151</v>
      </c>
      <c r="F238" s="100">
        <f>SUM(F233:F237)</f>
        <v>1904969.85</v>
      </c>
    </row>
    <row r="239" spans="1:12" x14ac:dyDescent="0.25">
      <c r="D239" s="8" t="s">
        <v>148</v>
      </c>
      <c r="F239" s="4">
        <v>0</v>
      </c>
    </row>
    <row r="240" spans="1:12" x14ac:dyDescent="0.25">
      <c r="D240" s="8" t="s">
        <v>149</v>
      </c>
      <c r="F240" s="4">
        <v>35000</v>
      </c>
    </row>
    <row r="241" spans="1:25" x14ac:dyDescent="0.25">
      <c r="D241" s="8" t="s">
        <v>150</v>
      </c>
      <c r="F241" s="4">
        <v>25000</v>
      </c>
    </row>
    <row r="242" spans="1:25" x14ac:dyDescent="0.25">
      <c r="D242" s="8" t="s">
        <v>147</v>
      </c>
      <c r="F242" s="100">
        <f>SUM(F238:F241)</f>
        <v>1964969.85</v>
      </c>
    </row>
    <row r="243" spans="1:25" x14ac:dyDescent="0.25">
      <c r="D243" s="80" t="s">
        <v>152</v>
      </c>
    </row>
    <row r="244" spans="1:25" x14ac:dyDescent="0.25">
      <c r="D244" s="8" t="s">
        <v>153</v>
      </c>
      <c r="E244" s="85">
        <f>(K244)</f>
        <v>218119.04782500002</v>
      </c>
      <c r="H244" s="86" t="s">
        <v>315</v>
      </c>
      <c r="I244" s="85">
        <f>(F238)</f>
        <v>1904969.85</v>
      </c>
      <c r="J244" s="138">
        <v>0.1145</v>
      </c>
      <c r="K244" s="85">
        <f>(I244*J244)</f>
        <v>218119.04782500002</v>
      </c>
      <c r="L244" s="86"/>
    </row>
    <row r="245" spans="1:25" x14ac:dyDescent="0.25">
      <c r="D245" s="8" t="s">
        <v>154</v>
      </c>
      <c r="E245" s="74">
        <f>(L248)</f>
        <v>133347.88950000002</v>
      </c>
      <c r="H245" s="39" t="s">
        <v>316</v>
      </c>
      <c r="I245" s="39"/>
      <c r="J245" s="39"/>
      <c r="K245" s="74">
        <f>(I244)</f>
        <v>1904969.85</v>
      </c>
      <c r="L245" s="39"/>
    </row>
    <row r="246" spans="1:25" x14ac:dyDescent="0.25">
      <c r="D246" s="8" t="s">
        <v>158</v>
      </c>
      <c r="E246" s="84">
        <f>(K253)</f>
        <v>11429.819100000001</v>
      </c>
      <c r="H246" s="39" t="s">
        <v>317</v>
      </c>
      <c r="I246" s="39"/>
      <c r="J246" s="39">
        <v>3.45</v>
      </c>
      <c r="K246" s="39">
        <v>28309.94</v>
      </c>
      <c r="L246" s="74">
        <f>(J246*K246)</f>
        <v>97669.293000000005</v>
      </c>
    </row>
    <row r="247" spans="1:25" x14ac:dyDescent="0.25">
      <c r="D247" s="87" t="s">
        <v>159</v>
      </c>
      <c r="E247" s="4"/>
      <c r="H247" s="39" t="s">
        <v>318</v>
      </c>
      <c r="I247" s="39"/>
      <c r="J247" s="39"/>
      <c r="K247" s="39"/>
      <c r="L247" s="139">
        <f>(L246)</f>
        <v>97669.293000000005</v>
      </c>
    </row>
    <row r="248" spans="1:25" x14ac:dyDescent="0.25">
      <c r="A248" s="197" t="s">
        <v>151</v>
      </c>
      <c r="B248" s="197"/>
      <c r="C248" s="197"/>
      <c r="D248" s="4">
        <f>(F238)</f>
        <v>1904969.85</v>
      </c>
      <c r="H248" s="39" t="s">
        <v>155</v>
      </c>
      <c r="I248" s="39"/>
      <c r="J248" s="39"/>
      <c r="K248" s="39"/>
      <c r="L248" s="139">
        <f>(O248)</f>
        <v>133347.88950000002</v>
      </c>
      <c r="M248" s="4">
        <f>(K245)</f>
        <v>1904969.85</v>
      </c>
      <c r="N248" s="2">
        <v>7.0000000000000007E-2</v>
      </c>
      <c r="O248" s="4">
        <f>(M248*N248)</f>
        <v>133347.88950000002</v>
      </c>
    </row>
    <row r="249" spans="1:25" x14ac:dyDescent="0.25">
      <c r="A249" s="198" t="s">
        <v>319</v>
      </c>
      <c r="B249" s="198"/>
      <c r="C249" s="198"/>
      <c r="D249" s="24">
        <f>(E244+E245+E246)</f>
        <v>362896.75642500009</v>
      </c>
      <c r="H249" s="39"/>
      <c r="I249" s="39"/>
      <c r="J249" s="39" t="s">
        <v>156</v>
      </c>
      <c r="K249" s="39"/>
      <c r="L249" s="82">
        <v>0</v>
      </c>
    </row>
    <row r="250" spans="1:25" x14ac:dyDescent="0.25">
      <c r="A250" s="198" t="s">
        <v>160</v>
      </c>
      <c r="B250" s="198"/>
      <c r="C250" s="198"/>
      <c r="D250" s="142">
        <f>(D248-D249)</f>
        <v>1542073.0935750001</v>
      </c>
      <c r="H250" s="39" t="s">
        <v>157</v>
      </c>
      <c r="I250" s="39"/>
      <c r="J250" s="39"/>
      <c r="K250" s="39"/>
      <c r="L250" s="39"/>
    </row>
    <row r="251" spans="1:25" x14ac:dyDescent="0.25">
      <c r="A251" s="198" t="s">
        <v>320</v>
      </c>
      <c r="B251" s="198"/>
      <c r="C251" s="198"/>
      <c r="D251" s="17">
        <f>(M255)</f>
        <v>123365.84748600001</v>
      </c>
      <c r="H251" s="39" t="s">
        <v>413</v>
      </c>
      <c r="I251" s="39"/>
      <c r="J251" s="39"/>
      <c r="K251" s="39"/>
      <c r="L251" s="39"/>
    </row>
    <row r="252" spans="1:25" x14ac:dyDescent="0.25">
      <c r="A252" s="198" t="s">
        <v>325</v>
      </c>
      <c r="B252" s="198"/>
      <c r="C252" s="198"/>
      <c r="D252" s="146">
        <v>86344</v>
      </c>
    </row>
    <row r="253" spans="1:25" x14ac:dyDescent="0.25">
      <c r="A253" s="198" t="s">
        <v>332</v>
      </c>
      <c r="B253" s="198"/>
      <c r="C253" s="198"/>
      <c r="D253" s="147">
        <f>(D251-D252)</f>
        <v>37021.847486000013</v>
      </c>
      <c r="E253" s="145">
        <f>(D251-D252)</f>
        <v>37021.847486000013</v>
      </c>
      <c r="H253" s="86" t="s">
        <v>315</v>
      </c>
      <c r="I253" s="85">
        <f>(I244)</f>
        <v>1904969.85</v>
      </c>
      <c r="J253" s="138">
        <v>6.0000000000000001E-3</v>
      </c>
      <c r="K253" s="85">
        <f>(I253*J253)</f>
        <v>11429.819100000001</v>
      </c>
      <c r="L253" s="86"/>
      <c r="O253" s="197" t="s">
        <v>327</v>
      </c>
      <c r="P253" s="197"/>
      <c r="Q253" s="197"/>
      <c r="R253" s="197"/>
      <c r="S253" s="197"/>
      <c r="U253" s="197" t="s">
        <v>326</v>
      </c>
      <c r="V253" s="197"/>
      <c r="W253" s="197"/>
      <c r="X253" s="197"/>
      <c r="Y253" s="197"/>
    </row>
    <row r="254" spans="1:25" x14ac:dyDescent="0.25">
      <c r="D254" t="s">
        <v>162</v>
      </c>
      <c r="F254" s="92">
        <f>(E244+E245+E246+E253)</f>
        <v>399918.60391100007</v>
      </c>
      <c r="P254" s="197" t="s">
        <v>321</v>
      </c>
      <c r="Q254" s="197"/>
      <c r="R254">
        <v>49623</v>
      </c>
      <c r="V254" s="197" t="s">
        <v>321</v>
      </c>
      <c r="W254" s="197"/>
      <c r="X254">
        <v>49623</v>
      </c>
    </row>
    <row r="255" spans="1:25" x14ac:dyDescent="0.25">
      <c r="D255" s="94" t="s">
        <v>167</v>
      </c>
      <c r="E255" s="94"/>
      <c r="F255" s="95">
        <f>(F242-F254)</f>
        <v>1565051.246089</v>
      </c>
      <c r="H255" s="89" t="s">
        <v>330</v>
      </c>
      <c r="I255" s="89"/>
      <c r="J255" s="89"/>
      <c r="K255" s="144">
        <f>(D250)</f>
        <v>1542073.0935750001</v>
      </c>
      <c r="L255" s="140">
        <v>0.08</v>
      </c>
      <c r="M255" s="4">
        <f>(K255*L255)</f>
        <v>123365.84748600001</v>
      </c>
      <c r="O255" t="s">
        <v>328</v>
      </c>
      <c r="P255" t="s">
        <v>322</v>
      </c>
      <c r="Q255" t="s">
        <v>323</v>
      </c>
      <c r="R255" t="s">
        <v>324</v>
      </c>
      <c r="S255" t="s">
        <v>325</v>
      </c>
      <c r="U255" t="s">
        <v>328</v>
      </c>
      <c r="V255" t="s">
        <v>322</v>
      </c>
      <c r="W255" t="s">
        <v>323</v>
      </c>
      <c r="X255" t="s">
        <v>324</v>
      </c>
      <c r="Y255" t="s">
        <v>325</v>
      </c>
    </row>
    <row r="256" spans="1:25" x14ac:dyDescent="0.25">
      <c r="D256" t="s">
        <v>333</v>
      </c>
      <c r="F256">
        <v>700000</v>
      </c>
      <c r="H256" s="90" t="s">
        <v>161</v>
      </c>
      <c r="I256" s="90"/>
      <c r="J256" s="90"/>
      <c r="K256" s="90"/>
      <c r="M256" s="4">
        <v>86344</v>
      </c>
      <c r="O256" s="5">
        <v>1</v>
      </c>
      <c r="P256">
        <v>0</v>
      </c>
      <c r="Q256" s="4">
        <f>(R254*W256)</f>
        <v>669910.5</v>
      </c>
      <c r="R256" s="4">
        <v>0</v>
      </c>
      <c r="S256" s="4">
        <v>0</v>
      </c>
      <c r="U256" s="5">
        <v>1</v>
      </c>
      <c r="V256">
        <v>0</v>
      </c>
      <c r="W256" s="137">
        <v>13.5</v>
      </c>
      <c r="X256" s="4">
        <v>0</v>
      </c>
      <c r="Y256" s="4">
        <v>0</v>
      </c>
    </row>
    <row r="257" spans="4:25" x14ac:dyDescent="0.25">
      <c r="D257" t="s">
        <v>169</v>
      </c>
      <c r="F257" s="4">
        <f>(F255-F256)</f>
        <v>865051.24608900002</v>
      </c>
      <c r="H257" s="91" t="s">
        <v>331</v>
      </c>
      <c r="I257" s="91"/>
      <c r="J257" s="91"/>
      <c r="K257" s="91"/>
      <c r="L257" s="91"/>
      <c r="M257" s="145">
        <f>(M255-M256)</f>
        <v>37021.847486000013</v>
      </c>
      <c r="O257" s="5">
        <f>(O256)+1</f>
        <v>2</v>
      </c>
      <c r="P257" s="4">
        <f>(Q256)</f>
        <v>669910.5</v>
      </c>
      <c r="Q257" s="4">
        <f>(R254*W257)</f>
        <v>1488690</v>
      </c>
      <c r="R257" s="140">
        <v>0.04</v>
      </c>
      <c r="S257" s="4">
        <f>(X254*Y257)</f>
        <v>26796.420000000002</v>
      </c>
      <c r="U257" s="5">
        <f>(U256)+1</f>
        <v>2</v>
      </c>
      <c r="V257" s="137">
        <f>(W256)</f>
        <v>13.5</v>
      </c>
      <c r="W257" s="4">
        <v>30</v>
      </c>
      <c r="X257" s="140">
        <v>0.04</v>
      </c>
      <c r="Y257" s="140">
        <v>0.54</v>
      </c>
    </row>
    <row r="258" spans="4:25" x14ac:dyDescent="0.25">
      <c r="H258" s="93" t="s">
        <v>163</v>
      </c>
      <c r="I258" s="93"/>
      <c r="J258" s="93"/>
      <c r="K258" s="92">
        <f>(E244)</f>
        <v>218119.04782500002</v>
      </c>
      <c r="L258" s="93"/>
      <c r="M258" s="93"/>
      <c r="O258" s="5">
        <f t="shared" ref="O258:O263" si="32">(O257)+1</f>
        <v>3</v>
      </c>
      <c r="P258" s="4">
        <f>(Q257)</f>
        <v>1488690</v>
      </c>
      <c r="Q258" s="4">
        <f>(X254*W258)</f>
        <v>2481150</v>
      </c>
      <c r="R258" s="140">
        <v>0.08</v>
      </c>
      <c r="S258" s="4">
        <f>(X254*Y258)</f>
        <v>86344.02</v>
      </c>
      <c r="U258" s="5">
        <f t="shared" ref="U258:U263" si="33">(U257)+1</f>
        <v>3</v>
      </c>
      <c r="V258" s="4">
        <f>(W257)</f>
        <v>30</v>
      </c>
      <c r="W258" s="4">
        <v>50</v>
      </c>
      <c r="X258" s="140">
        <v>0.08</v>
      </c>
      <c r="Y258" s="140">
        <v>1.74</v>
      </c>
    </row>
    <row r="259" spans="4:25" x14ac:dyDescent="0.25">
      <c r="H259" t="s">
        <v>164</v>
      </c>
      <c r="I259" s="93"/>
      <c r="J259" s="93"/>
      <c r="K259" s="92">
        <f>(E245)</f>
        <v>133347.88950000002</v>
      </c>
      <c r="O259" s="5">
        <f t="shared" si="32"/>
        <v>4</v>
      </c>
      <c r="P259" s="4">
        <f t="shared" ref="P259:P263" si="34">(Q258)</f>
        <v>2481150</v>
      </c>
      <c r="Q259" s="4">
        <f>(X254*W259)</f>
        <v>3473610</v>
      </c>
      <c r="R259">
        <v>0.13500000000000001</v>
      </c>
      <c r="S259" s="4">
        <f>(X254*Y259)</f>
        <v>222807.27000000002</v>
      </c>
      <c r="U259" s="5">
        <f t="shared" si="33"/>
        <v>4</v>
      </c>
      <c r="V259" s="4">
        <f t="shared" ref="V259:V263" si="35">(W258)</f>
        <v>50</v>
      </c>
      <c r="W259" s="4">
        <v>70</v>
      </c>
      <c r="X259">
        <v>0.13500000000000001</v>
      </c>
      <c r="Y259" s="140">
        <v>4.49</v>
      </c>
    </row>
    <row r="260" spans="4:25" x14ac:dyDescent="0.25">
      <c r="I260" s="93" t="s">
        <v>165</v>
      </c>
      <c r="J260" s="93"/>
      <c r="K260" s="92">
        <f>(E246)</f>
        <v>11429.819100000001</v>
      </c>
      <c r="O260" s="5">
        <f t="shared" si="32"/>
        <v>5</v>
      </c>
      <c r="P260" s="4">
        <f t="shared" si="34"/>
        <v>3473610</v>
      </c>
      <c r="Q260" s="4">
        <f>(X254*W260)</f>
        <v>4466070</v>
      </c>
      <c r="R260">
        <v>0.23</v>
      </c>
      <c r="S260" s="4">
        <f>(X254*Y260)</f>
        <v>552800.22</v>
      </c>
      <c r="U260" s="5">
        <f t="shared" si="33"/>
        <v>5</v>
      </c>
      <c r="V260" s="4">
        <f t="shared" si="35"/>
        <v>70</v>
      </c>
      <c r="W260" s="4">
        <v>90</v>
      </c>
      <c r="X260">
        <v>0.23</v>
      </c>
      <c r="Y260" s="140">
        <v>11.14</v>
      </c>
    </row>
    <row r="261" spans="4:25" x14ac:dyDescent="0.25">
      <c r="I261" s="93" t="s">
        <v>166</v>
      </c>
      <c r="J261" s="93"/>
      <c r="K261" s="92">
        <f>(E253)</f>
        <v>37021.847486000013</v>
      </c>
      <c r="O261" s="5">
        <f t="shared" si="32"/>
        <v>6</v>
      </c>
      <c r="P261" s="4">
        <f t="shared" si="34"/>
        <v>4466070</v>
      </c>
      <c r="Q261" s="4">
        <f>(X254*W261)</f>
        <v>5954760</v>
      </c>
      <c r="R261">
        <v>0.30399999999999999</v>
      </c>
      <c r="S261" s="4">
        <f>(X254*Y261)</f>
        <v>883289.4</v>
      </c>
      <c r="U261" s="5">
        <f t="shared" si="33"/>
        <v>6</v>
      </c>
      <c r="V261" s="4">
        <f t="shared" si="35"/>
        <v>90</v>
      </c>
      <c r="W261" s="4">
        <v>120</v>
      </c>
      <c r="X261">
        <v>0.30399999999999999</v>
      </c>
      <c r="Y261" s="140">
        <v>17.8</v>
      </c>
    </row>
    <row r="262" spans="4:25" x14ac:dyDescent="0.25">
      <c r="I262" s="93"/>
      <c r="J262" s="93"/>
      <c r="K262" s="148">
        <f>SUM(K258:K261)</f>
        <v>399918.60391100007</v>
      </c>
      <c r="O262" s="5">
        <f t="shared" si="32"/>
        <v>7</v>
      </c>
      <c r="P262" s="4">
        <f t="shared" si="34"/>
        <v>5954760</v>
      </c>
      <c r="Q262" s="4">
        <f>(X254*W262)</f>
        <v>7443450</v>
      </c>
      <c r="R262">
        <v>0.35</v>
      </c>
      <c r="S262" s="4">
        <f>(X254*Y262)</f>
        <v>1157208.3600000001</v>
      </c>
      <c r="U262" s="5">
        <f t="shared" si="33"/>
        <v>7</v>
      </c>
      <c r="V262" s="4">
        <f t="shared" si="35"/>
        <v>120</v>
      </c>
      <c r="W262" s="4">
        <v>150</v>
      </c>
      <c r="X262">
        <v>0.35</v>
      </c>
      <c r="Y262" s="140">
        <v>23.32</v>
      </c>
    </row>
    <row r="263" spans="4:25" x14ac:dyDescent="0.25">
      <c r="H263" s="94" t="s">
        <v>334</v>
      </c>
      <c r="I263" s="94"/>
      <c r="J263" s="94"/>
      <c r="K263" s="95">
        <f>(F242)</f>
        <v>1964969.85</v>
      </c>
      <c r="L263" s="95">
        <f>(K262)</f>
        <v>399918.60391100007</v>
      </c>
      <c r="M263" s="95">
        <f>(K263-L263)</f>
        <v>1565051.246089</v>
      </c>
      <c r="N263" s="94"/>
      <c r="O263" s="5">
        <f t="shared" si="32"/>
        <v>8</v>
      </c>
      <c r="P263" s="4">
        <f t="shared" si="34"/>
        <v>7443450</v>
      </c>
      <c r="Q263" s="143" t="str">
        <f>(W263)</f>
        <v>Y MÁS</v>
      </c>
      <c r="R263" s="140">
        <v>0.4</v>
      </c>
      <c r="S263" s="4">
        <f>(X254*Y263)</f>
        <v>1926364.86</v>
      </c>
      <c r="U263" s="5">
        <f t="shared" si="33"/>
        <v>8</v>
      </c>
      <c r="V263" s="4">
        <f t="shared" si="35"/>
        <v>150</v>
      </c>
      <c r="W263" s="143" t="s">
        <v>329</v>
      </c>
      <c r="X263" s="140">
        <v>0.4</v>
      </c>
      <c r="Y263" s="140">
        <v>38.82</v>
      </c>
    </row>
    <row r="267" spans="4:25" x14ac:dyDescent="0.25">
      <c r="D267" s="26" t="s">
        <v>311</v>
      </c>
      <c r="E267" s="171" t="s">
        <v>170</v>
      </c>
      <c r="F267" s="171"/>
    </row>
    <row r="268" spans="4:25" x14ac:dyDescent="0.25">
      <c r="D268" s="9" t="s">
        <v>142</v>
      </c>
      <c r="E268" s="9"/>
      <c r="F268" s="9">
        <v>370000</v>
      </c>
    </row>
    <row r="269" spans="4:25" x14ac:dyDescent="0.25">
      <c r="D269" s="9" t="s">
        <v>171</v>
      </c>
      <c r="E269" s="9"/>
      <c r="F269" s="150">
        <v>119146</v>
      </c>
      <c r="H269" s="96" t="s">
        <v>144</v>
      </c>
      <c r="I269" s="96"/>
      <c r="J269" s="96"/>
      <c r="K269" s="97" t="s">
        <v>142</v>
      </c>
      <c r="L269" s="97">
        <v>330000</v>
      </c>
      <c r="M269" s="97"/>
      <c r="N269" s="97"/>
      <c r="O269" s="97"/>
    </row>
    <row r="270" spans="4:25" x14ac:dyDescent="0.25">
      <c r="D270" s="8" t="s">
        <v>145</v>
      </c>
      <c r="E270" s="9"/>
      <c r="F270" s="10">
        <f>(K270)</f>
        <v>106476.713</v>
      </c>
      <c r="H270" s="96">
        <f>(F268)</f>
        <v>370000</v>
      </c>
      <c r="I270" s="96">
        <v>7.7777000000000002E-3</v>
      </c>
      <c r="J270" s="96">
        <v>37</v>
      </c>
      <c r="K270" s="150">
        <f>(H270*I270)*J270</f>
        <v>106476.713</v>
      </c>
      <c r="L270" s="149">
        <f>(K270)</f>
        <v>106476.713</v>
      </c>
      <c r="M270" s="97"/>
      <c r="N270" s="97"/>
      <c r="O270" s="97"/>
    </row>
    <row r="271" spans="4:25" x14ac:dyDescent="0.25">
      <c r="D271" s="8" t="s">
        <v>339</v>
      </c>
      <c r="F271" s="8">
        <v>200000</v>
      </c>
      <c r="H271" s="97" t="s">
        <v>340</v>
      </c>
      <c r="I271" s="97"/>
      <c r="J271" s="149"/>
      <c r="K271" s="97" t="s">
        <v>340</v>
      </c>
      <c r="L271" s="97">
        <f>(F271)</f>
        <v>200000</v>
      </c>
      <c r="M271" s="97"/>
      <c r="N271" s="97"/>
      <c r="O271" s="97"/>
    </row>
    <row r="272" spans="4:25" x14ac:dyDescent="0.25">
      <c r="D272" s="8" t="s">
        <v>151</v>
      </c>
      <c r="F272" s="100">
        <f>SUM(F268:F271)</f>
        <v>795622.71299999999</v>
      </c>
      <c r="H272" s="97"/>
      <c r="I272" s="97"/>
      <c r="J272" s="97"/>
      <c r="K272" s="97"/>
      <c r="L272" s="149">
        <f>SUM(L269:L271)</f>
        <v>636476.71299999999</v>
      </c>
      <c r="M272" s="2">
        <v>0.25</v>
      </c>
      <c r="N272" s="149">
        <f>(L272*M272)</f>
        <v>159119.17825</v>
      </c>
      <c r="O272" s="97"/>
    </row>
    <row r="273" spans="1:15" x14ac:dyDescent="0.25">
      <c r="D273" s="8" t="s">
        <v>148</v>
      </c>
      <c r="F273" s="4">
        <v>0</v>
      </c>
    </row>
    <row r="274" spans="1:15" x14ac:dyDescent="0.25">
      <c r="D274" s="8" t="s">
        <v>149</v>
      </c>
      <c r="F274" s="4">
        <v>25000</v>
      </c>
      <c r="H274" s="97" t="s">
        <v>335</v>
      </c>
      <c r="I274" s="97"/>
      <c r="J274" s="149">
        <f>(Q273)</f>
        <v>0</v>
      </c>
      <c r="K274" s="97" t="s">
        <v>336</v>
      </c>
      <c r="L274" s="97"/>
      <c r="M274" s="97"/>
      <c r="N274" s="97"/>
      <c r="O274" s="97"/>
    </row>
    <row r="275" spans="1:15" x14ac:dyDescent="0.25">
      <c r="D275" s="8" t="s">
        <v>150</v>
      </c>
      <c r="F275" s="4">
        <v>35000</v>
      </c>
      <c r="H275" s="97"/>
      <c r="I275" s="97"/>
      <c r="J275" s="97"/>
      <c r="K275" s="97" t="s">
        <v>172</v>
      </c>
      <c r="L275" s="97"/>
      <c r="M275" s="97"/>
      <c r="N275" s="97"/>
      <c r="O275" s="97"/>
    </row>
    <row r="276" spans="1:15" x14ac:dyDescent="0.25">
      <c r="D276" s="8" t="s">
        <v>147</v>
      </c>
      <c r="F276" s="100">
        <f>SUM(F272:F275)</f>
        <v>855622.71299999999</v>
      </c>
    </row>
    <row r="277" spans="1:15" x14ac:dyDescent="0.25">
      <c r="D277" s="80" t="s">
        <v>152</v>
      </c>
    </row>
    <row r="278" spans="1:15" x14ac:dyDescent="0.25">
      <c r="D278" s="8" t="s">
        <v>173</v>
      </c>
      <c r="E278" s="85">
        <f>(K278)</f>
        <v>89666.679755099991</v>
      </c>
      <c r="H278" s="86" t="s">
        <v>315</v>
      </c>
      <c r="I278" s="85">
        <f>(F272)</f>
        <v>795622.71299999999</v>
      </c>
      <c r="J278" s="138">
        <v>0.11269999999999999</v>
      </c>
      <c r="K278" s="85">
        <f>(I278*J278)</f>
        <v>89666.679755099991</v>
      </c>
      <c r="L278" s="86"/>
    </row>
    <row r="279" spans="1:15" x14ac:dyDescent="0.25">
      <c r="D279" s="8" t="s">
        <v>174</v>
      </c>
      <c r="E279" s="74">
        <f>(K279)</f>
        <v>55693.589910000002</v>
      </c>
      <c r="F279" s="39"/>
      <c r="G279" s="39"/>
      <c r="H279" s="39" t="s">
        <v>315</v>
      </c>
      <c r="I279" s="74">
        <f>(F272)</f>
        <v>795622.71299999999</v>
      </c>
      <c r="J279" s="151">
        <v>7.0000000000000007E-2</v>
      </c>
      <c r="K279" s="74">
        <f>(I279*J279)</f>
        <v>55693.589910000002</v>
      </c>
      <c r="L279" s="39"/>
    </row>
    <row r="280" spans="1:15" x14ac:dyDescent="0.25">
      <c r="D280" s="8" t="s">
        <v>158</v>
      </c>
      <c r="E280" s="84">
        <v>0</v>
      </c>
      <c r="H280" s="83" t="s">
        <v>175</v>
      </c>
      <c r="I280" s="83"/>
      <c r="J280" s="83"/>
      <c r="K280" s="83"/>
      <c r="L280" s="83"/>
      <c r="M280" s="83"/>
      <c r="N280" s="83"/>
      <c r="O280" s="83"/>
    </row>
    <row r="281" spans="1:15" x14ac:dyDescent="0.25">
      <c r="D281" s="87" t="s">
        <v>159</v>
      </c>
      <c r="E281" s="4"/>
    </row>
    <row r="282" spans="1:15" x14ac:dyDescent="0.25">
      <c r="A282" s="197" t="s">
        <v>151</v>
      </c>
      <c r="B282" s="197"/>
      <c r="C282" s="197"/>
      <c r="D282" s="4">
        <f>(F272)</f>
        <v>795622.71299999999</v>
      </c>
    </row>
    <row r="283" spans="1:15" x14ac:dyDescent="0.25">
      <c r="A283" s="198" t="s">
        <v>319</v>
      </c>
      <c r="B283" s="198"/>
      <c r="C283" s="198"/>
      <c r="D283" s="24">
        <f>(E278+E279+E280)</f>
        <v>145360.2696651</v>
      </c>
    </row>
    <row r="284" spans="1:15" x14ac:dyDescent="0.25">
      <c r="A284" s="198" t="s">
        <v>160</v>
      </c>
      <c r="B284" s="198"/>
      <c r="C284" s="198"/>
      <c r="D284" s="142">
        <f>(D282-D283)</f>
        <v>650262.44333489996</v>
      </c>
    </row>
    <row r="285" spans="1:15" x14ac:dyDescent="0.25">
      <c r="A285" s="198" t="s">
        <v>320</v>
      </c>
      <c r="B285" s="198"/>
      <c r="C285" s="198"/>
      <c r="D285" s="17">
        <f>(M289)</f>
        <v>0</v>
      </c>
      <c r="H285" s="89" t="s">
        <v>337</v>
      </c>
      <c r="I285" s="89"/>
      <c r="J285" s="89"/>
      <c r="K285" s="89"/>
      <c r="L285" s="144">
        <f>(Q256)</f>
        <v>669910.5</v>
      </c>
      <c r="M285" s="89"/>
    </row>
    <row r="286" spans="1:15" x14ac:dyDescent="0.25">
      <c r="A286" s="198" t="s">
        <v>325</v>
      </c>
      <c r="B286" s="198"/>
      <c r="C286" s="198"/>
      <c r="D286" s="146">
        <f>(M290)</f>
        <v>0</v>
      </c>
    </row>
    <row r="287" spans="1:15" x14ac:dyDescent="0.25">
      <c r="A287" s="198" t="s">
        <v>332</v>
      </c>
      <c r="B287" s="198"/>
      <c r="C287" s="198"/>
      <c r="D287" s="147">
        <f>(D285-D286)</f>
        <v>0</v>
      </c>
      <c r="E287" s="145">
        <f>(D285-D286)</f>
        <v>0</v>
      </c>
    </row>
    <row r="288" spans="1:15" x14ac:dyDescent="0.25">
      <c r="D288" t="s">
        <v>162</v>
      </c>
      <c r="F288" s="92">
        <f>(E278+E279+E280+E287)</f>
        <v>145360.2696651</v>
      </c>
    </row>
    <row r="289" spans="3:6" x14ac:dyDescent="0.25">
      <c r="D289" s="94" t="s">
        <v>167</v>
      </c>
      <c r="E289" s="94"/>
      <c r="F289" s="95">
        <f>(F276-F288)</f>
        <v>710262.44333489996</v>
      </c>
    </row>
    <row r="290" spans="3:6" x14ac:dyDescent="0.25">
      <c r="D290" t="s">
        <v>168</v>
      </c>
      <c r="F290">
        <v>550000</v>
      </c>
    </row>
    <row r="291" spans="3:6" x14ac:dyDescent="0.25">
      <c r="D291" t="s">
        <v>169</v>
      </c>
      <c r="F291" s="4">
        <f>(F289-F290)</f>
        <v>160262.44333489996</v>
      </c>
    </row>
    <row r="294" spans="3:6" x14ac:dyDescent="0.25">
      <c r="D294" s="98" t="s">
        <v>176</v>
      </c>
    </row>
    <row r="295" spans="3:6" x14ac:dyDescent="0.25">
      <c r="C295" t="s">
        <v>51</v>
      </c>
      <c r="D295" s="98" t="s">
        <v>177</v>
      </c>
    </row>
    <row r="296" spans="3:6" x14ac:dyDescent="0.25">
      <c r="D296" t="s">
        <v>178</v>
      </c>
      <c r="E296" s="4">
        <f>(F238)</f>
        <v>1904969.85</v>
      </c>
    </row>
    <row r="297" spans="3:6" x14ac:dyDescent="0.25">
      <c r="D297" t="s">
        <v>179</v>
      </c>
      <c r="E297" s="152">
        <f>(F272)</f>
        <v>795622.71299999999</v>
      </c>
    </row>
    <row r="298" spans="3:6" x14ac:dyDescent="0.25">
      <c r="D298" t="s">
        <v>180</v>
      </c>
      <c r="E298" s="4">
        <f>SUM(E296:E297)</f>
        <v>2700592.5630000001</v>
      </c>
    </row>
    <row r="299" spans="3:6" x14ac:dyDescent="0.25">
      <c r="D299" t="s">
        <v>181</v>
      </c>
      <c r="E299" s="4">
        <f>(E298*2.63%)</f>
        <v>71025.584406900001</v>
      </c>
      <c r="F299" t="s">
        <v>414</v>
      </c>
    </row>
    <row r="300" spans="3:6" x14ac:dyDescent="0.25">
      <c r="E300" s="4"/>
    </row>
    <row r="301" spans="3:6" x14ac:dyDescent="0.25">
      <c r="C301" t="s">
        <v>101</v>
      </c>
      <c r="D301" s="98" t="s">
        <v>183</v>
      </c>
      <c r="E301" s="4"/>
    </row>
    <row r="302" spans="3:6" x14ac:dyDescent="0.25">
      <c r="D302" t="s">
        <v>178</v>
      </c>
      <c r="E302" s="4">
        <f>(E296)</f>
        <v>1904969.85</v>
      </c>
    </row>
    <row r="303" spans="3:6" x14ac:dyDescent="0.25">
      <c r="D303" t="s">
        <v>179</v>
      </c>
      <c r="E303" s="152">
        <f>(E297)</f>
        <v>795622.71299999999</v>
      </c>
    </row>
    <row r="304" spans="3:6" x14ac:dyDescent="0.25">
      <c r="D304" t="s">
        <v>180</v>
      </c>
      <c r="E304" s="4">
        <f>SUM(E302:E303)</f>
        <v>2700592.5630000001</v>
      </c>
    </row>
    <row r="305" spans="3:9" x14ac:dyDescent="0.25">
      <c r="D305" t="s">
        <v>184</v>
      </c>
      <c r="E305" s="4">
        <f>(E304*1.53%)</f>
        <v>41319.066213900005</v>
      </c>
      <c r="F305" t="s">
        <v>415</v>
      </c>
    </row>
    <row r="306" spans="3:9" x14ac:dyDescent="0.25">
      <c r="E306" s="4"/>
    </row>
    <row r="307" spans="3:9" x14ac:dyDescent="0.25">
      <c r="C307" t="s">
        <v>57</v>
      </c>
      <c r="D307" s="98" t="s">
        <v>186</v>
      </c>
      <c r="E307" s="4"/>
    </row>
    <row r="308" spans="3:9" x14ac:dyDescent="0.25">
      <c r="D308" t="s">
        <v>178</v>
      </c>
      <c r="E308" s="4">
        <f>(E302)</f>
        <v>1904969.85</v>
      </c>
      <c r="F308" s="99">
        <v>2.4E-2</v>
      </c>
      <c r="G308" s="4">
        <f>(E308*F308)</f>
        <v>45719.276400000002</v>
      </c>
      <c r="I308" t="s">
        <v>187</v>
      </c>
    </row>
    <row r="309" spans="3:9" x14ac:dyDescent="0.25">
      <c r="D309" t="s">
        <v>179</v>
      </c>
      <c r="E309" s="152">
        <f>(E303)</f>
        <v>795622.71299999999</v>
      </c>
      <c r="F309" s="99">
        <v>0.03</v>
      </c>
      <c r="G309" s="4">
        <f>(E309*F309)</f>
        <v>23868.681389999998</v>
      </c>
      <c r="I309" t="s">
        <v>188</v>
      </c>
    </row>
    <row r="310" spans="3:9" x14ac:dyDescent="0.25">
      <c r="D310" t="s">
        <v>180</v>
      </c>
      <c r="E310" s="4">
        <f>SUM(E308:E309)</f>
        <v>2700592.5630000001</v>
      </c>
      <c r="G310" s="4"/>
    </row>
    <row r="311" spans="3:9" x14ac:dyDescent="0.25">
      <c r="D311" t="s">
        <v>189</v>
      </c>
      <c r="E311" s="4"/>
      <c r="G311" s="100">
        <f>SUM(G308:G310)</f>
        <v>69587.95779</v>
      </c>
    </row>
    <row r="312" spans="3:9" x14ac:dyDescent="0.25">
      <c r="E312" s="4"/>
    </row>
    <row r="313" spans="3:9" x14ac:dyDescent="0.25">
      <c r="E313" s="4"/>
    </row>
    <row r="314" spans="3:9" x14ac:dyDescent="0.25">
      <c r="D314" s="98" t="s">
        <v>190</v>
      </c>
      <c r="E314" s="4"/>
    </row>
    <row r="315" spans="3:9" x14ac:dyDescent="0.25">
      <c r="C315">
        <v>1</v>
      </c>
      <c r="D315" s="1" t="s">
        <v>142</v>
      </c>
      <c r="E315" s="6">
        <f>(F268+F233)</f>
        <v>890000</v>
      </c>
      <c r="F315" s="1"/>
      <c r="I315" t="s">
        <v>207</v>
      </c>
    </row>
    <row r="316" spans="3:9" x14ac:dyDescent="0.25">
      <c r="C316">
        <f>(C315)+1</f>
        <v>2</v>
      </c>
      <c r="D316" s="1" t="s">
        <v>143</v>
      </c>
      <c r="E316" s="6">
        <f>(F234+F269)</f>
        <v>238292</v>
      </c>
      <c r="F316" s="1"/>
      <c r="I316" t="s">
        <v>207</v>
      </c>
    </row>
    <row r="317" spans="3:9" x14ac:dyDescent="0.25">
      <c r="C317">
        <f t="shared" ref="C317:C335" si="36">(C316)+1</f>
        <v>3</v>
      </c>
      <c r="D317" s="1" t="s">
        <v>145</v>
      </c>
      <c r="E317" s="6">
        <f>(F235+F270)</f>
        <v>207586.81300000002</v>
      </c>
      <c r="F317" s="1"/>
      <c r="I317" t="s">
        <v>207</v>
      </c>
    </row>
    <row r="318" spans="3:9" x14ac:dyDescent="0.25">
      <c r="C318">
        <f t="shared" si="36"/>
        <v>4</v>
      </c>
      <c r="D318" s="1" t="s">
        <v>191</v>
      </c>
      <c r="E318" s="6">
        <f>(F236)</f>
        <v>964713.75</v>
      </c>
      <c r="F318" s="1"/>
      <c r="I318" t="s">
        <v>207</v>
      </c>
    </row>
    <row r="319" spans="3:9" x14ac:dyDescent="0.25">
      <c r="C319">
        <f t="shared" si="36"/>
        <v>5</v>
      </c>
      <c r="D319" s="1" t="s">
        <v>338</v>
      </c>
      <c r="E319" s="6">
        <f>(F237+F271)</f>
        <v>400000</v>
      </c>
      <c r="F319" s="1"/>
      <c r="I319" t="s">
        <v>207</v>
      </c>
    </row>
    <row r="320" spans="3:9" x14ac:dyDescent="0.25">
      <c r="C320">
        <f t="shared" si="36"/>
        <v>6</v>
      </c>
      <c r="D320" s="1" t="s">
        <v>149</v>
      </c>
      <c r="E320" s="6">
        <f>(F240+F274)</f>
        <v>60000</v>
      </c>
      <c r="F320" s="1"/>
      <c r="I320" t="s">
        <v>207</v>
      </c>
    </row>
    <row r="321" spans="3:14" x14ac:dyDescent="0.25">
      <c r="C321">
        <f t="shared" si="36"/>
        <v>7</v>
      </c>
      <c r="D321" s="1" t="s">
        <v>150</v>
      </c>
      <c r="E321" s="6">
        <f>(F241+F275)</f>
        <v>60000</v>
      </c>
      <c r="F321" s="1"/>
      <c r="I321" t="s">
        <v>207</v>
      </c>
    </row>
    <row r="322" spans="3:14" x14ac:dyDescent="0.25">
      <c r="C322">
        <f t="shared" si="36"/>
        <v>8</v>
      </c>
      <c r="D322" s="1" t="s">
        <v>197</v>
      </c>
      <c r="E322" s="6">
        <f>(E299)</f>
        <v>71025.584406900001</v>
      </c>
      <c r="F322" s="1"/>
      <c r="I322" t="s">
        <v>207</v>
      </c>
    </row>
    <row r="323" spans="3:14" x14ac:dyDescent="0.25">
      <c r="C323">
        <f t="shared" si="36"/>
        <v>9</v>
      </c>
      <c r="D323" s="1" t="s">
        <v>198</v>
      </c>
      <c r="E323" s="6">
        <f>(E305)</f>
        <v>41319.066213900005</v>
      </c>
      <c r="F323" s="1"/>
      <c r="I323" t="s">
        <v>207</v>
      </c>
    </row>
    <row r="324" spans="3:14" x14ac:dyDescent="0.25">
      <c r="C324">
        <f t="shared" si="36"/>
        <v>10</v>
      </c>
      <c r="D324" s="1" t="s">
        <v>199</v>
      </c>
      <c r="E324" s="6">
        <f>(G311)</f>
        <v>69587.95779</v>
      </c>
      <c r="F324" s="1"/>
      <c r="I324" t="s">
        <v>207</v>
      </c>
    </row>
    <row r="325" spans="3:14" x14ac:dyDescent="0.25">
      <c r="C325">
        <f t="shared" si="36"/>
        <v>11</v>
      </c>
      <c r="D325" s="54" t="s">
        <v>65</v>
      </c>
      <c r="E325" s="6"/>
      <c r="F325" s="6">
        <f>(E244)</f>
        <v>218119.04782500002</v>
      </c>
      <c r="H325" t="s">
        <v>195</v>
      </c>
      <c r="N325" t="s">
        <v>208</v>
      </c>
    </row>
    <row r="326" spans="3:14" x14ac:dyDescent="0.25">
      <c r="C326">
        <f t="shared" si="36"/>
        <v>12</v>
      </c>
      <c r="D326" s="54" t="s">
        <v>193</v>
      </c>
      <c r="E326" s="6"/>
      <c r="F326" s="6">
        <f>(E278)</f>
        <v>89666.679755099991</v>
      </c>
      <c r="H326" t="s">
        <v>170</v>
      </c>
      <c r="N326" t="s">
        <v>208</v>
      </c>
    </row>
    <row r="327" spans="3:14" x14ac:dyDescent="0.25">
      <c r="C327">
        <f t="shared" si="36"/>
        <v>13</v>
      </c>
      <c r="D327" s="54" t="s">
        <v>194</v>
      </c>
      <c r="E327" s="6"/>
      <c r="F327" s="6">
        <f>(E279)</f>
        <v>55693.589910000002</v>
      </c>
      <c r="H327" t="s">
        <v>170</v>
      </c>
      <c r="N327" t="s">
        <v>208</v>
      </c>
    </row>
    <row r="328" spans="3:14" x14ac:dyDescent="0.25">
      <c r="C328">
        <f t="shared" si="36"/>
        <v>14</v>
      </c>
      <c r="D328" s="54" t="s">
        <v>154</v>
      </c>
      <c r="E328" s="6"/>
      <c r="F328" s="6">
        <f>(E245)</f>
        <v>133347.88950000002</v>
      </c>
      <c r="H328" t="s">
        <v>195</v>
      </c>
      <c r="N328" t="s">
        <v>208</v>
      </c>
    </row>
    <row r="329" spans="3:14" x14ac:dyDescent="0.25">
      <c r="C329">
        <f t="shared" si="36"/>
        <v>15</v>
      </c>
      <c r="D329" s="54" t="s">
        <v>203</v>
      </c>
      <c r="E329" s="6"/>
      <c r="F329" s="6">
        <f>(E246)</f>
        <v>11429.819100000001</v>
      </c>
      <c r="H329" t="s">
        <v>204</v>
      </c>
      <c r="N329" t="s">
        <v>208</v>
      </c>
    </row>
    <row r="330" spans="3:14" x14ac:dyDescent="0.25">
      <c r="C330">
        <f t="shared" si="36"/>
        <v>16</v>
      </c>
      <c r="D330" s="159" t="s">
        <v>211</v>
      </c>
      <c r="E330" s="38"/>
      <c r="F330" s="38">
        <f>(E299)</f>
        <v>71025.584406900001</v>
      </c>
      <c r="H330" t="s">
        <v>200</v>
      </c>
      <c r="N330" t="s">
        <v>208</v>
      </c>
    </row>
    <row r="331" spans="3:14" x14ac:dyDescent="0.25">
      <c r="C331">
        <f t="shared" si="36"/>
        <v>17</v>
      </c>
      <c r="D331" s="54" t="s">
        <v>196</v>
      </c>
      <c r="E331" s="6"/>
      <c r="F331" s="6">
        <f>(E253)</f>
        <v>37021.847486000013</v>
      </c>
      <c r="H331" t="s">
        <v>205</v>
      </c>
      <c r="N331" t="s">
        <v>208</v>
      </c>
    </row>
    <row r="332" spans="3:14" x14ac:dyDescent="0.25">
      <c r="C332">
        <f t="shared" si="36"/>
        <v>18</v>
      </c>
      <c r="D332" s="54" t="s">
        <v>201</v>
      </c>
      <c r="E332" s="6"/>
      <c r="F332" s="6">
        <f>(E323)</f>
        <v>41319.066213900005</v>
      </c>
      <c r="H332" t="s">
        <v>206</v>
      </c>
      <c r="N332" t="s">
        <v>208</v>
      </c>
    </row>
    <row r="333" spans="3:14" x14ac:dyDescent="0.25">
      <c r="C333">
        <f t="shared" si="36"/>
        <v>19</v>
      </c>
      <c r="D333" s="54" t="s">
        <v>202</v>
      </c>
      <c r="E333" s="6"/>
      <c r="F333" s="6">
        <f>(E324)</f>
        <v>69587.95779</v>
      </c>
      <c r="H333" t="s">
        <v>206</v>
      </c>
      <c r="N333" t="s">
        <v>208</v>
      </c>
    </row>
    <row r="334" spans="3:14" x14ac:dyDescent="0.25">
      <c r="C334">
        <f t="shared" si="36"/>
        <v>20</v>
      </c>
      <c r="D334" s="54" t="s">
        <v>209</v>
      </c>
      <c r="E334" s="6"/>
      <c r="F334" s="1">
        <f>(F256+F290)</f>
        <v>1250000</v>
      </c>
    </row>
    <row r="335" spans="3:14" x14ac:dyDescent="0.25">
      <c r="C335">
        <f t="shared" si="36"/>
        <v>21</v>
      </c>
      <c r="D335" s="54" t="s">
        <v>2</v>
      </c>
      <c r="E335" s="6"/>
      <c r="F335" s="6">
        <f>(F257+F291)</f>
        <v>1025313.6894239</v>
      </c>
      <c r="H335" t="s">
        <v>210</v>
      </c>
    </row>
    <row r="336" spans="3:14" x14ac:dyDescent="0.25">
      <c r="D336" s="81"/>
      <c r="E336" s="4">
        <f>SUM(E315:E335)</f>
        <v>3002525.1714108004</v>
      </c>
      <c r="F336" s="4">
        <f>SUM(F315:F335)</f>
        <v>3002525.1714108</v>
      </c>
      <c r="G336" s="4">
        <f>(E336-F336)</f>
        <v>4.6566128730773926E-10</v>
      </c>
    </row>
    <row r="338" spans="3:15" x14ac:dyDescent="0.25">
      <c r="D338" s="11" t="s">
        <v>365</v>
      </c>
    </row>
    <row r="339" spans="3:15" x14ac:dyDescent="0.25">
      <c r="C339" s="32"/>
      <c r="D339" s="32" t="s">
        <v>277</v>
      </c>
      <c r="E339" s="32" t="s">
        <v>426</v>
      </c>
      <c r="F339" s="172" t="s">
        <v>279</v>
      </c>
      <c r="G339" s="172"/>
      <c r="H339" s="172"/>
      <c r="I339" s="172" t="s">
        <v>280</v>
      </c>
      <c r="J339" s="172"/>
      <c r="K339" s="172"/>
    </row>
    <row r="340" spans="3:15" x14ac:dyDescent="0.25">
      <c r="C340" s="155">
        <v>43771</v>
      </c>
      <c r="D340" s="52" t="s">
        <v>278</v>
      </c>
      <c r="E340" s="165">
        <v>34800</v>
      </c>
      <c r="F340" s="52">
        <v>240</v>
      </c>
      <c r="G340" s="52"/>
      <c r="H340" s="52">
        <f>(F340)</f>
        <v>240</v>
      </c>
      <c r="I340" s="52">
        <f>(E340*F340)</f>
        <v>8352000</v>
      </c>
      <c r="J340" s="52"/>
      <c r="K340" s="52">
        <f>(I340)</f>
        <v>8352000</v>
      </c>
    </row>
    <row r="341" spans="3:15" x14ac:dyDescent="0.25">
      <c r="C341" s="155">
        <v>43772</v>
      </c>
      <c r="D341" s="52" t="s">
        <v>281</v>
      </c>
      <c r="E341" s="52"/>
      <c r="F341" s="52"/>
      <c r="G341" s="165">
        <v>155</v>
      </c>
      <c r="H341" s="52">
        <f>(H340+F341-G341)</f>
        <v>85</v>
      </c>
      <c r="I341" s="52"/>
      <c r="J341" s="165">
        <f>(M341)</f>
        <v>5394000</v>
      </c>
      <c r="K341" s="52">
        <f>(K340+I341-J341)</f>
        <v>2958000</v>
      </c>
      <c r="M341">
        <f>(G341*E340)</f>
        <v>5394000</v>
      </c>
    </row>
    <row r="342" spans="3:15" x14ac:dyDescent="0.25">
      <c r="C342" s="120">
        <v>43803</v>
      </c>
      <c r="D342" s="32" t="s">
        <v>278</v>
      </c>
      <c r="E342" s="32">
        <v>35355</v>
      </c>
      <c r="F342" s="32">
        <v>235</v>
      </c>
      <c r="G342" s="32"/>
      <c r="H342" s="32">
        <f t="shared" ref="H342:H343" si="37">(H341+F342-G342)</f>
        <v>320</v>
      </c>
      <c r="I342" s="32">
        <f>(E342*F342)</f>
        <v>8308425</v>
      </c>
      <c r="J342" s="32"/>
      <c r="K342" s="32">
        <f t="shared" ref="K342:K343" si="38">(K341+I342-J342)</f>
        <v>11266425</v>
      </c>
    </row>
    <row r="343" spans="3:15" x14ac:dyDescent="0.25">
      <c r="C343" s="120">
        <v>43804</v>
      </c>
      <c r="D343" s="32" t="s">
        <v>281</v>
      </c>
      <c r="E343" s="32"/>
      <c r="F343" s="32"/>
      <c r="G343" s="32">
        <v>195</v>
      </c>
      <c r="H343" s="32">
        <f t="shared" si="37"/>
        <v>125</v>
      </c>
      <c r="I343" s="32"/>
      <c r="J343" s="52">
        <f>(J349)</f>
        <v>6847050</v>
      </c>
      <c r="K343" s="119">
        <f t="shared" si="38"/>
        <v>4419375</v>
      </c>
    </row>
    <row r="344" spans="3:15" x14ac:dyDescent="0.25">
      <c r="C344" s="32"/>
      <c r="D344" s="32"/>
      <c r="E344" s="32"/>
      <c r="F344" s="32"/>
      <c r="G344" s="32"/>
      <c r="H344" s="32"/>
      <c r="I344" s="32"/>
      <c r="J344" s="32">
        <f>SUM(J340:J343)</f>
        <v>12241050</v>
      </c>
      <c r="K344" s="32"/>
    </row>
    <row r="347" spans="3:15" x14ac:dyDescent="0.25">
      <c r="D347" t="s">
        <v>343</v>
      </c>
      <c r="H347" s="39">
        <v>85</v>
      </c>
      <c r="I347" s="39">
        <v>34800</v>
      </c>
      <c r="J347" s="39">
        <f>(H347*I347)</f>
        <v>2958000</v>
      </c>
    </row>
    <row r="348" spans="3:15" x14ac:dyDescent="0.25">
      <c r="C348">
        <f>(H343)</f>
        <v>125</v>
      </c>
      <c r="D348" t="s">
        <v>37</v>
      </c>
      <c r="E348">
        <v>35355</v>
      </c>
      <c r="F348" s="131">
        <f>(C348*E348)</f>
        <v>4419375</v>
      </c>
      <c r="H348" s="39">
        <v>110</v>
      </c>
      <c r="I348" s="39">
        <v>35355</v>
      </c>
      <c r="J348" s="39">
        <f>(H348*I348)</f>
        <v>3889050</v>
      </c>
    </row>
    <row r="349" spans="3:15" x14ac:dyDescent="0.25">
      <c r="H349" s="39">
        <f>SUM(H347:H348)</f>
        <v>195</v>
      </c>
      <c r="I349" s="39"/>
      <c r="J349" s="39">
        <f>SUM(J347:J348)</f>
        <v>6847050</v>
      </c>
    </row>
    <row r="352" spans="3:15" x14ac:dyDescent="0.25">
      <c r="E352" s="157" t="s">
        <v>382</v>
      </c>
      <c r="F352" s="157"/>
      <c r="G352" s="157" t="s">
        <v>394</v>
      </c>
      <c r="H352" s="157" t="s">
        <v>395</v>
      </c>
      <c r="I352" s="157"/>
      <c r="J352" s="157" t="s">
        <v>396</v>
      </c>
      <c r="K352" s="157" t="s">
        <v>397</v>
      </c>
      <c r="L352" s="157" t="s">
        <v>398</v>
      </c>
      <c r="M352" s="157" t="s">
        <v>399</v>
      </c>
      <c r="N352" s="157" t="s">
        <v>400</v>
      </c>
      <c r="O352" s="157" t="s">
        <v>401</v>
      </c>
    </row>
    <row r="353" spans="3:21" x14ac:dyDescent="0.25">
      <c r="D353" t="s">
        <v>283</v>
      </c>
      <c r="E353" s="141"/>
      <c r="F353" s="141"/>
      <c r="G353" s="141"/>
      <c r="H353" s="141" t="s">
        <v>370</v>
      </c>
      <c r="I353" s="141" t="s">
        <v>374</v>
      </c>
      <c r="J353" s="141" t="s">
        <v>372</v>
      </c>
      <c r="K353" s="141" t="s">
        <v>375</v>
      </c>
      <c r="L353" s="141" t="s">
        <v>377</v>
      </c>
      <c r="M353" s="141" t="s">
        <v>377</v>
      </c>
      <c r="N353" s="141" t="s">
        <v>379</v>
      </c>
      <c r="O353" s="141" t="s">
        <v>375</v>
      </c>
    </row>
    <row r="354" spans="3:21" x14ac:dyDescent="0.25">
      <c r="E354" s="141" t="s">
        <v>367</v>
      </c>
      <c r="F354" s="141" t="s">
        <v>368</v>
      </c>
      <c r="G354" s="141" t="s">
        <v>369</v>
      </c>
      <c r="H354" s="141" t="s">
        <v>371</v>
      </c>
      <c r="I354" s="141" t="s">
        <v>373</v>
      </c>
      <c r="J354" s="141" t="s">
        <v>373</v>
      </c>
      <c r="K354" s="141" t="s">
        <v>376</v>
      </c>
      <c r="L354" s="141" t="s">
        <v>0</v>
      </c>
      <c r="M354" s="141" t="s">
        <v>378</v>
      </c>
      <c r="N354" s="141" t="s">
        <v>380</v>
      </c>
      <c r="O354" s="141" t="s">
        <v>381</v>
      </c>
    </row>
    <row r="355" spans="3:21" x14ac:dyDescent="0.25">
      <c r="C355">
        <v>1</v>
      </c>
      <c r="D355" t="s">
        <v>124</v>
      </c>
      <c r="E355">
        <v>8100000</v>
      </c>
      <c r="F355" s="99">
        <v>2E-3</v>
      </c>
      <c r="G355">
        <f>(E355*F355)</f>
        <v>16200</v>
      </c>
      <c r="H355">
        <f>(E355+G355)</f>
        <v>8116200</v>
      </c>
      <c r="I355" s="2">
        <v>0.04</v>
      </c>
      <c r="J355">
        <f>(H355*I355)</f>
        <v>324648</v>
      </c>
      <c r="K355">
        <f>(H355-J355)</f>
        <v>7791552</v>
      </c>
      <c r="L355">
        <v>120</v>
      </c>
      <c r="M355">
        <v>2</v>
      </c>
      <c r="N355" s="4">
        <f>(K355/L355*M355)</f>
        <v>129859.2</v>
      </c>
      <c r="O355" s="4">
        <f>(K355-N355)</f>
        <v>7661692.7999999998</v>
      </c>
      <c r="Q355">
        <f>(K355)</f>
        <v>7791552</v>
      </c>
      <c r="R355">
        <v>120</v>
      </c>
      <c r="S355" s="4">
        <f>(Q355/R355)</f>
        <v>64929.599999999999</v>
      </c>
      <c r="T355">
        <v>2</v>
      </c>
      <c r="U355" s="4">
        <f>(S355*T355)</f>
        <v>129859.2</v>
      </c>
    </row>
    <row r="356" spans="3:21" x14ac:dyDescent="0.25">
      <c r="E356" s="156" t="s">
        <v>383</v>
      </c>
      <c r="F356" s="156" t="s">
        <v>384</v>
      </c>
      <c r="G356" s="156" t="s">
        <v>385</v>
      </c>
      <c r="H356" s="156" t="s">
        <v>386</v>
      </c>
      <c r="I356" s="156" t="s">
        <v>387</v>
      </c>
      <c r="J356" s="156" t="s">
        <v>388</v>
      </c>
      <c r="K356" s="156" t="s">
        <v>389</v>
      </c>
      <c r="L356" s="156" t="s">
        <v>390</v>
      </c>
      <c r="M356" s="156" t="s">
        <v>391</v>
      </c>
      <c r="N356" s="156" t="s">
        <v>392</v>
      </c>
      <c r="O356" s="156" t="s">
        <v>393</v>
      </c>
    </row>
    <row r="358" spans="3:21" x14ac:dyDescent="0.25">
      <c r="D358" t="s">
        <v>7</v>
      </c>
    </row>
    <row r="360" spans="3:21" x14ac:dyDescent="0.25">
      <c r="C360">
        <v>1</v>
      </c>
      <c r="D360" t="s">
        <v>304</v>
      </c>
      <c r="E360">
        <v>391420</v>
      </c>
      <c r="F360" s="99">
        <v>0</v>
      </c>
      <c r="G360">
        <f>(E360*F360)</f>
        <v>0</v>
      </c>
      <c r="H360">
        <f>(E360+G360)</f>
        <v>391420</v>
      </c>
      <c r="I360" s="2">
        <v>0.04</v>
      </c>
      <c r="J360" s="4">
        <f>(H360*I360)</f>
        <v>15656.800000000001</v>
      </c>
      <c r="K360" s="4">
        <f>(H360-J360)</f>
        <v>375763.20000000001</v>
      </c>
      <c r="L360">
        <v>84</v>
      </c>
      <c r="M360">
        <v>1</v>
      </c>
      <c r="N360" s="4">
        <f>(K360/L360*M360)</f>
        <v>4473.3714285714286</v>
      </c>
      <c r="O360" s="4">
        <f>(K360-N360)</f>
        <v>371289.8285714286</v>
      </c>
      <c r="Q360" s="4">
        <f>(K360)</f>
        <v>375763.20000000001</v>
      </c>
      <c r="R360">
        <v>84</v>
      </c>
      <c r="S360" s="4">
        <f>(Q360/R360)</f>
        <v>4473.3714285714286</v>
      </c>
      <c r="T360">
        <v>1</v>
      </c>
      <c r="U360" s="4">
        <f>(S360*T360)</f>
        <v>4473.3714285714286</v>
      </c>
    </row>
    <row r="364" spans="3:21" x14ac:dyDescent="0.25">
      <c r="D364" t="s">
        <v>424</v>
      </c>
    </row>
    <row r="365" spans="3:21" x14ac:dyDescent="0.25">
      <c r="D365" t="s">
        <v>425</v>
      </c>
    </row>
  </sheetData>
  <mergeCells count="120">
    <mergeCell ref="S160:T160"/>
    <mergeCell ref="A287:C287"/>
    <mergeCell ref="A282:C282"/>
    <mergeCell ref="A283:C283"/>
    <mergeCell ref="A284:C284"/>
    <mergeCell ref="A285:C285"/>
    <mergeCell ref="A286:C286"/>
    <mergeCell ref="A249:C249"/>
    <mergeCell ref="A250:C250"/>
    <mergeCell ref="A251:C251"/>
    <mergeCell ref="P254:Q254"/>
    <mergeCell ref="O172:R172"/>
    <mergeCell ref="O173:R173"/>
    <mergeCell ref="M183:N183"/>
    <mergeCell ref="M175:N175"/>
    <mergeCell ref="V254:W254"/>
    <mergeCell ref="O253:S253"/>
    <mergeCell ref="U253:Y253"/>
    <mergeCell ref="A252:C252"/>
    <mergeCell ref="A253:C253"/>
    <mergeCell ref="G14:J14"/>
    <mergeCell ref="G22:J22"/>
    <mergeCell ref="A248:C248"/>
    <mergeCell ref="M146:O146"/>
    <mergeCell ref="M147:O147"/>
    <mergeCell ref="M140:O140"/>
    <mergeCell ref="M141:O141"/>
    <mergeCell ref="M142:O142"/>
    <mergeCell ref="M143:O143"/>
    <mergeCell ref="M144:O144"/>
    <mergeCell ref="M136:O136"/>
    <mergeCell ref="M137:O137"/>
    <mergeCell ref="M138:O138"/>
    <mergeCell ref="M139:O139"/>
    <mergeCell ref="M145:O145"/>
    <mergeCell ref="M131:O131"/>
    <mergeCell ref="M132:O132"/>
    <mergeCell ref="M133:O133"/>
    <mergeCell ref="M134:O134"/>
    <mergeCell ref="M115:O115"/>
    <mergeCell ref="M135:O135"/>
    <mergeCell ref="M126:O126"/>
    <mergeCell ref="M127:O127"/>
    <mergeCell ref="M128:O128"/>
    <mergeCell ref="M129:O129"/>
    <mergeCell ref="M130:O130"/>
    <mergeCell ref="M121:O121"/>
    <mergeCell ref="M122:O122"/>
    <mergeCell ref="M123:O123"/>
    <mergeCell ref="M124:O124"/>
    <mergeCell ref="M125:O125"/>
    <mergeCell ref="D67:G67"/>
    <mergeCell ref="J67:L67"/>
    <mergeCell ref="A104:B104"/>
    <mergeCell ref="A103:B103"/>
    <mergeCell ref="M104:O104"/>
    <mergeCell ref="M99:W99"/>
    <mergeCell ref="M100:N100"/>
    <mergeCell ref="O100:R100"/>
    <mergeCell ref="M101:N101"/>
    <mergeCell ref="O101:R101"/>
    <mergeCell ref="M102:W102"/>
    <mergeCell ref="T101:W101"/>
    <mergeCell ref="D103:H103"/>
    <mergeCell ref="R103:S103"/>
    <mergeCell ref="T103:U103"/>
    <mergeCell ref="V103:W103"/>
    <mergeCell ref="M103:O103"/>
    <mergeCell ref="H70:I70"/>
    <mergeCell ref="D78:H78"/>
    <mergeCell ref="J89:O89"/>
    <mergeCell ref="J90:O90"/>
    <mergeCell ref="M150:O150"/>
    <mergeCell ref="M151:O151"/>
    <mergeCell ref="M152:O152"/>
    <mergeCell ref="M153:O153"/>
    <mergeCell ref="M154:O154"/>
    <mergeCell ref="M155:O155"/>
    <mergeCell ref="I58:J58"/>
    <mergeCell ref="H65:I65"/>
    <mergeCell ref="H66:I66"/>
    <mergeCell ref="M106:O106"/>
    <mergeCell ref="M107:O107"/>
    <mergeCell ref="M108:O108"/>
    <mergeCell ref="M109:O109"/>
    <mergeCell ref="M110:O110"/>
    <mergeCell ref="M105:O105"/>
    <mergeCell ref="M116:O116"/>
    <mergeCell ref="M117:O117"/>
    <mergeCell ref="M118:O118"/>
    <mergeCell ref="M119:O119"/>
    <mergeCell ref="M120:O120"/>
    <mergeCell ref="M111:O111"/>
    <mergeCell ref="M112:O112"/>
    <mergeCell ref="M113:O113"/>
    <mergeCell ref="M114:O114"/>
    <mergeCell ref="F339:H339"/>
    <mergeCell ref="I339:K339"/>
    <mergeCell ref="E267:F267"/>
    <mergeCell ref="N160:O160"/>
    <mergeCell ref="N159:T159"/>
    <mergeCell ref="M206:Q206"/>
    <mergeCell ref="E2:H2"/>
    <mergeCell ref="D3:K3"/>
    <mergeCell ref="D4:F4"/>
    <mergeCell ref="G5:J5"/>
    <mergeCell ref="E232:F232"/>
    <mergeCell ref="I48:J48"/>
    <mergeCell ref="D50:L50"/>
    <mergeCell ref="D51:L51"/>
    <mergeCell ref="D38:L38"/>
    <mergeCell ref="H40:I40"/>
    <mergeCell ref="E104:F104"/>
    <mergeCell ref="G104:H104"/>
    <mergeCell ref="I104:J104"/>
    <mergeCell ref="J30:L30"/>
    <mergeCell ref="H42:I42"/>
    <mergeCell ref="D53:O53"/>
    <mergeCell ref="M148:O148"/>
    <mergeCell ref="M149:O149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I13" sqref="I13"/>
    </sheetView>
  </sheetViews>
  <sheetFormatPr baseColWidth="10" defaultRowHeight="15" x14ac:dyDescent="0.25"/>
  <cols>
    <col min="1" max="1" width="4.5703125" style="9" customWidth="1"/>
    <col min="2" max="2" width="11.42578125" style="9"/>
    <col min="3" max="3" width="12.5703125" style="9" customWidth="1"/>
    <col min="4" max="16384" width="11.42578125" style="9"/>
  </cols>
  <sheetData>
    <row r="1" spans="1:11" x14ac:dyDescent="0.25">
      <c r="C1" s="212"/>
      <c r="D1" s="179"/>
      <c r="E1" s="179"/>
      <c r="F1" s="179"/>
      <c r="G1" s="179"/>
      <c r="H1" s="179"/>
      <c r="I1" s="179"/>
      <c r="J1" s="179"/>
    </row>
    <row r="2" spans="1:11" x14ac:dyDescent="0.25">
      <c r="D2" s="179"/>
      <c r="E2" s="179"/>
      <c r="F2" s="179"/>
      <c r="G2" s="179"/>
      <c r="H2" s="179"/>
      <c r="I2" s="179"/>
      <c r="J2" s="179"/>
    </row>
    <row r="3" spans="1:11" x14ac:dyDescent="0.25">
      <c r="D3" s="168"/>
      <c r="E3" s="168"/>
      <c r="F3" s="168"/>
      <c r="G3" s="168"/>
      <c r="H3" s="168"/>
      <c r="I3" s="168"/>
      <c r="J3" s="168"/>
    </row>
    <row r="4" spans="1:11" x14ac:dyDescent="0.25">
      <c r="D4" s="179"/>
      <c r="E4" s="179"/>
      <c r="F4" s="179"/>
      <c r="G4" s="179"/>
      <c r="H4" s="179"/>
      <c r="I4" s="179"/>
      <c r="J4" s="179"/>
      <c r="K4" s="179"/>
    </row>
    <row r="5" spans="1:11" x14ac:dyDescent="0.25">
      <c r="F5" s="179"/>
      <c r="G5" s="179"/>
      <c r="H5" s="179"/>
      <c r="I5" s="179"/>
      <c r="J5" s="179"/>
      <c r="K5" s="179"/>
    </row>
    <row r="6" spans="1:11" x14ac:dyDescent="0.25">
      <c r="A6" s="168"/>
      <c r="B6" s="179"/>
      <c r="C6" s="179"/>
      <c r="D6" s="168"/>
      <c r="E6" s="168"/>
      <c r="F6" s="168"/>
      <c r="G6" s="168"/>
      <c r="H6" s="168"/>
      <c r="I6" s="168"/>
      <c r="J6" s="168"/>
      <c r="K6" s="168"/>
    </row>
    <row r="7" spans="1:11" x14ac:dyDescent="0.25">
      <c r="A7" s="168"/>
      <c r="B7" s="183"/>
      <c r="C7" s="183"/>
      <c r="D7" s="213"/>
      <c r="E7" s="213"/>
      <c r="F7" s="213"/>
      <c r="G7" s="213"/>
      <c r="H7" s="213"/>
      <c r="I7" s="213"/>
      <c r="J7" s="213"/>
      <c r="K7" s="213"/>
    </row>
    <row r="8" spans="1:11" x14ac:dyDescent="0.25">
      <c r="A8" s="168"/>
      <c r="B8" s="183"/>
      <c r="C8" s="183"/>
      <c r="D8" s="213"/>
      <c r="E8" s="213"/>
      <c r="F8" s="213"/>
      <c r="G8" s="213"/>
      <c r="H8" s="213"/>
      <c r="I8" s="213"/>
      <c r="J8" s="213"/>
      <c r="K8" s="213"/>
    </row>
    <row r="9" spans="1:11" x14ac:dyDescent="0.25">
      <c r="A9" s="168"/>
      <c r="B9" s="183"/>
      <c r="C9" s="183"/>
      <c r="D9" s="213"/>
      <c r="E9" s="213"/>
      <c r="F9" s="213"/>
      <c r="G9" s="213"/>
      <c r="H9" s="213"/>
      <c r="I9" s="213"/>
      <c r="J9" s="213"/>
      <c r="K9" s="213"/>
    </row>
    <row r="10" spans="1:11" x14ac:dyDescent="0.25">
      <c r="A10" s="168"/>
      <c r="B10" s="183"/>
      <c r="C10" s="183"/>
      <c r="D10" s="213"/>
      <c r="E10" s="213"/>
      <c r="F10" s="213"/>
      <c r="G10" s="213"/>
      <c r="H10" s="213"/>
      <c r="I10" s="213"/>
      <c r="J10" s="213"/>
      <c r="K10" s="213"/>
    </row>
    <row r="11" spans="1:11" x14ac:dyDescent="0.25">
      <c r="A11" s="168"/>
      <c r="B11" s="183"/>
      <c r="C11" s="183"/>
      <c r="D11" s="213"/>
      <c r="E11" s="213"/>
      <c r="F11" s="213"/>
      <c r="G11" s="213"/>
      <c r="H11" s="213"/>
      <c r="I11" s="213"/>
      <c r="J11" s="213"/>
      <c r="K11" s="213"/>
    </row>
    <row r="12" spans="1:11" x14ac:dyDescent="0.25">
      <c r="A12" s="168"/>
      <c r="B12" s="183"/>
      <c r="C12" s="183"/>
      <c r="D12" s="213"/>
      <c r="E12" s="213"/>
      <c r="F12" s="213"/>
      <c r="G12" s="213"/>
      <c r="H12" s="213"/>
      <c r="I12" s="213"/>
      <c r="J12" s="213"/>
      <c r="K12" s="213"/>
    </row>
    <row r="13" spans="1:11" x14ac:dyDescent="0.25">
      <c r="A13" s="168"/>
      <c r="B13" s="183"/>
      <c r="C13" s="183"/>
      <c r="D13" s="213"/>
      <c r="E13" s="213"/>
      <c r="F13" s="213"/>
      <c r="G13" s="213"/>
      <c r="H13" s="213"/>
      <c r="I13" s="213"/>
      <c r="J13" s="213"/>
      <c r="K13" s="213"/>
    </row>
    <row r="14" spans="1:11" x14ac:dyDescent="0.25">
      <c r="A14" s="168"/>
      <c r="B14" s="183"/>
      <c r="C14" s="183"/>
      <c r="D14" s="213"/>
      <c r="E14" s="213"/>
      <c r="F14" s="213"/>
      <c r="G14" s="213"/>
      <c r="H14" s="213"/>
      <c r="I14" s="213"/>
      <c r="J14" s="213"/>
      <c r="K14" s="213"/>
    </row>
    <row r="15" spans="1:11" x14ac:dyDescent="0.25">
      <c r="A15" s="168"/>
      <c r="B15" s="183"/>
      <c r="C15" s="183"/>
      <c r="D15" s="213"/>
      <c r="E15" s="213"/>
      <c r="F15" s="213"/>
      <c r="G15" s="213"/>
      <c r="H15" s="213"/>
      <c r="I15" s="213"/>
      <c r="J15" s="213"/>
      <c r="K15" s="213"/>
    </row>
    <row r="16" spans="1:11" x14ac:dyDescent="0.25">
      <c r="A16" s="168"/>
      <c r="B16" s="183"/>
      <c r="C16" s="183"/>
      <c r="D16" s="213"/>
      <c r="E16" s="213"/>
      <c r="F16" s="213"/>
      <c r="G16" s="213"/>
      <c r="H16" s="213"/>
      <c r="I16" s="213"/>
      <c r="J16" s="213"/>
      <c r="K16" s="213"/>
    </row>
    <row r="17" spans="1:11" x14ac:dyDescent="0.25">
      <c r="A17" s="168"/>
      <c r="B17" s="183"/>
      <c r="C17" s="183"/>
      <c r="D17" s="213"/>
      <c r="E17" s="213"/>
      <c r="F17" s="213"/>
      <c r="G17" s="213"/>
      <c r="H17" s="213"/>
      <c r="I17" s="213"/>
      <c r="J17" s="213"/>
      <c r="K17" s="213"/>
    </row>
    <row r="18" spans="1:11" x14ac:dyDescent="0.25">
      <c r="A18" s="168"/>
      <c r="B18" s="183"/>
      <c r="C18" s="183"/>
      <c r="D18" s="213"/>
      <c r="E18" s="213"/>
      <c r="F18" s="213"/>
      <c r="G18" s="213"/>
      <c r="H18" s="213"/>
      <c r="I18" s="213"/>
      <c r="J18" s="213"/>
      <c r="K18" s="213"/>
    </row>
    <row r="19" spans="1:11" x14ac:dyDescent="0.25">
      <c r="A19" s="168"/>
      <c r="B19" s="183"/>
      <c r="C19" s="183"/>
      <c r="D19" s="213"/>
      <c r="E19" s="213"/>
      <c r="F19" s="213"/>
      <c r="G19" s="213"/>
      <c r="H19" s="213"/>
      <c r="I19" s="213"/>
      <c r="J19" s="213"/>
      <c r="K19" s="213"/>
    </row>
    <row r="20" spans="1:11" x14ac:dyDescent="0.25">
      <c r="A20" s="168"/>
      <c r="B20" s="183"/>
      <c r="C20" s="183"/>
      <c r="D20" s="213"/>
      <c r="E20" s="213"/>
      <c r="F20" s="213"/>
      <c r="G20" s="213"/>
      <c r="H20" s="213"/>
      <c r="I20" s="213"/>
      <c r="J20" s="213"/>
      <c r="K20" s="213"/>
    </row>
    <row r="21" spans="1:11" x14ac:dyDescent="0.25">
      <c r="A21" s="168"/>
      <c r="B21" s="183"/>
      <c r="C21" s="183"/>
      <c r="D21" s="213"/>
      <c r="E21" s="213"/>
      <c r="F21" s="213"/>
      <c r="G21" s="213"/>
      <c r="H21" s="213"/>
      <c r="I21" s="213"/>
      <c r="J21" s="213"/>
      <c r="K21" s="213"/>
    </row>
    <row r="22" spans="1:11" x14ac:dyDescent="0.25">
      <c r="A22" s="168"/>
      <c r="B22" s="183"/>
      <c r="C22" s="183"/>
      <c r="D22" s="213"/>
      <c r="E22" s="213"/>
      <c r="F22" s="213"/>
      <c r="G22" s="213"/>
      <c r="H22" s="213"/>
      <c r="I22" s="213"/>
      <c r="J22" s="213"/>
      <c r="K22" s="213"/>
    </row>
    <row r="23" spans="1:11" x14ac:dyDescent="0.25">
      <c r="A23" s="168"/>
      <c r="B23" s="183"/>
      <c r="C23" s="183"/>
      <c r="D23" s="213"/>
      <c r="E23" s="213"/>
      <c r="F23" s="213"/>
      <c r="G23" s="213"/>
      <c r="H23" s="213"/>
      <c r="I23" s="213"/>
      <c r="J23" s="213"/>
      <c r="K23" s="213"/>
    </row>
    <row r="24" spans="1:11" x14ac:dyDescent="0.25">
      <c r="A24" s="168"/>
      <c r="B24" s="183"/>
      <c r="C24" s="183"/>
      <c r="D24" s="213"/>
      <c r="E24" s="213"/>
      <c r="F24" s="213"/>
      <c r="G24" s="213"/>
      <c r="H24" s="213"/>
      <c r="I24" s="213"/>
      <c r="J24" s="213"/>
      <c r="K24" s="213"/>
    </row>
    <row r="25" spans="1:11" x14ac:dyDescent="0.25">
      <c r="A25" s="168"/>
      <c r="B25" s="183"/>
      <c r="C25" s="183"/>
      <c r="D25" s="213"/>
      <c r="E25" s="213"/>
      <c r="F25" s="213"/>
      <c r="G25" s="213"/>
      <c r="H25" s="213"/>
      <c r="I25" s="213"/>
      <c r="J25" s="213"/>
      <c r="K25" s="213"/>
    </row>
    <row r="26" spans="1:11" x14ac:dyDescent="0.25">
      <c r="A26" s="168"/>
      <c r="B26" s="183"/>
      <c r="C26" s="183"/>
      <c r="D26" s="213"/>
      <c r="E26" s="213"/>
      <c r="F26" s="213"/>
      <c r="G26" s="213"/>
      <c r="H26" s="213"/>
      <c r="I26" s="213"/>
      <c r="J26" s="213"/>
      <c r="K26" s="213"/>
    </row>
    <row r="27" spans="1:11" x14ac:dyDescent="0.25">
      <c r="A27" s="168"/>
      <c r="B27" s="183"/>
      <c r="C27" s="183"/>
      <c r="D27" s="213"/>
      <c r="E27" s="213"/>
      <c r="F27" s="213"/>
      <c r="G27" s="213"/>
      <c r="H27" s="213"/>
      <c r="I27" s="213"/>
      <c r="J27" s="213"/>
      <c r="K27" s="213"/>
    </row>
    <row r="28" spans="1:11" x14ac:dyDescent="0.25">
      <c r="B28" s="214"/>
      <c r="C28" s="214"/>
      <c r="D28" s="213"/>
      <c r="E28" s="213"/>
      <c r="F28" s="213"/>
      <c r="G28" s="213"/>
      <c r="H28" s="213"/>
      <c r="I28" s="213"/>
      <c r="J28" s="213"/>
      <c r="K28" s="213"/>
    </row>
    <row r="29" spans="1:11" x14ac:dyDescent="0.25">
      <c r="B29" s="214"/>
      <c r="C29" s="214"/>
      <c r="D29" s="213"/>
      <c r="E29" s="213"/>
      <c r="F29" s="213"/>
      <c r="G29" s="213"/>
      <c r="H29" s="213"/>
      <c r="I29" s="213"/>
      <c r="J29" s="213"/>
      <c r="K29" s="213"/>
    </row>
    <row r="30" spans="1:11" x14ac:dyDescent="0.25">
      <c r="B30" s="214"/>
      <c r="C30" s="214"/>
      <c r="D30" s="213"/>
      <c r="E30" s="213"/>
      <c r="F30" s="213"/>
      <c r="G30" s="213"/>
      <c r="H30" s="213"/>
      <c r="I30" s="213"/>
      <c r="J30" s="213"/>
      <c r="K30" s="213"/>
    </row>
  </sheetData>
  <mergeCells count="33">
    <mergeCell ref="B30:C30"/>
    <mergeCell ref="B24:C24"/>
    <mergeCell ref="B25:C25"/>
    <mergeCell ref="B26:C26"/>
    <mergeCell ref="B27:C27"/>
    <mergeCell ref="B28:C28"/>
    <mergeCell ref="B29:C29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11:C11"/>
    <mergeCell ref="D1:E1"/>
    <mergeCell ref="F1:J1"/>
    <mergeCell ref="D2:E2"/>
    <mergeCell ref="F2:J2"/>
    <mergeCell ref="D4:K4"/>
    <mergeCell ref="F5:G5"/>
    <mergeCell ref="H5:I5"/>
    <mergeCell ref="J5:K5"/>
    <mergeCell ref="B6:C6"/>
    <mergeCell ref="B7:C7"/>
    <mergeCell ref="B8:C8"/>
    <mergeCell ref="B9:C9"/>
    <mergeCell ref="B10:C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"/>
  <sheetViews>
    <sheetView workbookViewId="0">
      <selection activeCell="F19" sqref="F19"/>
    </sheetView>
  </sheetViews>
  <sheetFormatPr baseColWidth="10" defaultRowHeight="15" x14ac:dyDescent="0.25"/>
  <cols>
    <col min="5" max="5" width="21.7109375" customWidth="1"/>
    <col min="6" max="6" width="16.5703125" customWidth="1"/>
    <col min="7" max="7" width="14.85546875" customWidth="1"/>
    <col min="8" max="8" width="14.42578125" customWidth="1"/>
  </cols>
  <sheetData>
    <row r="2" spans="1:1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x14ac:dyDescent="0.25">
      <c r="A4" s="9"/>
      <c r="B4" s="212"/>
      <c r="C4" s="9"/>
      <c r="D4" s="9"/>
      <c r="E4" s="9"/>
      <c r="F4" s="9"/>
      <c r="G4" s="9"/>
      <c r="H4" s="9"/>
      <c r="I4" s="9"/>
      <c r="J4" s="9"/>
      <c r="K4" s="9"/>
    </row>
    <row r="5" spans="1:1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</row>
    <row r="8" spans="1:11" x14ac:dyDescent="0.25">
      <c r="A8" s="9"/>
      <c r="B8" s="215"/>
      <c r="C8" s="216"/>
      <c r="D8" s="216"/>
      <c r="E8" s="216"/>
      <c r="F8" s="216"/>
      <c r="G8" s="216"/>
      <c r="H8" s="216"/>
      <c r="I8" s="215"/>
      <c r="J8" s="9"/>
      <c r="K8" s="9"/>
    </row>
    <row r="9" spans="1:11" x14ac:dyDescent="0.25">
      <c r="A9" s="9"/>
      <c r="B9" s="215"/>
      <c r="C9" s="216"/>
      <c r="D9" s="216"/>
      <c r="E9" s="216"/>
      <c r="F9" s="216"/>
      <c r="G9" s="216"/>
      <c r="H9" s="216"/>
      <c r="I9" s="215"/>
      <c r="J9" s="9"/>
      <c r="K9" s="9"/>
    </row>
    <row r="10" spans="1:11" x14ac:dyDescent="0.25">
      <c r="A10" s="9"/>
      <c r="B10" s="215"/>
      <c r="C10" s="215"/>
      <c r="D10" s="215"/>
      <c r="E10" s="215"/>
      <c r="F10" s="215"/>
      <c r="G10" s="215"/>
      <c r="H10" s="215"/>
      <c r="I10" s="215"/>
      <c r="J10" s="9"/>
      <c r="K10" s="9"/>
    </row>
    <row r="11" spans="1:11" x14ac:dyDescent="0.25">
      <c r="A11" s="9"/>
      <c r="B11" s="215"/>
      <c r="C11" s="215"/>
      <c r="D11" s="215"/>
      <c r="E11" s="215"/>
      <c r="F11" s="215"/>
      <c r="G11" s="215"/>
      <c r="H11" s="215"/>
      <c r="I11" s="215"/>
      <c r="J11" s="9"/>
      <c r="K11" s="9"/>
    </row>
    <row r="12" spans="1:11" x14ac:dyDescent="0.25">
      <c r="A12" s="9"/>
      <c r="B12" s="215"/>
      <c r="C12" s="215"/>
      <c r="D12" s="215"/>
      <c r="E12" s="215"/>
      <c r="F12" s="215"/>
      <c r="G12" s="215"/>
      <c r="H12" s="215"/>
      <c r="I12" s="215"/>
      <c r="J12" s="9"/>
      <c r="K12" s="9"/>
    </row>
    <row r="13" spans="1:11" x14ac:dyDescent="0.25">
      <c r="A13" s="9"/>
      <c r="B13" s="215"/>
      <c r="C13" s="215"/>
      <c r="D13" s="215"/>
      <c r="E13" s="215"/>
      <c r="F13" s="215"/>
      <c r="G13" s="215"/>
      <c r="H13" s="215"/>
      <c r="I13" s="215"/>
      <c r="J13" s="9"/>
      <c r="K13" s="9"/>
    </row>
    <row r="14" spans="1:1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1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</row>
  </sheetData>
  <mergeCells count="4">
    <mergeCell ref="C9:E9"/>
    <mergeCell ref="F9:H9"/>
    <mergeCell ref="C8:E8"/>
    <mergeCell ref="F8:H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NOVIEMBRE</vt:lpstr>
      <vt:lpstr>DICIEMBRE</vt:lpstr>
      <vt:lpstr>BALANCE</vt:lpstr>
      <vt:lpstr>CLASE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Luis</dc:creator>
  <cp:lastModifiedBy>Juan Luis gazmuri</cp:lastModifiedBy>
  <cp:lastPrinted>2019-06-03T00:57:45Z</cp:lastPrinted>
  <dcterms:created xsi:type="dcterms:W3CDTF">2019-05-26T18:54:53Z</dcterms:created>
  <dcterms:modified xsi:type="dcterms:W3CDTF">2020-06-11T00:46:54Z</dcterms:modified>
</cp:coreProperties>
</file>